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sumer Protection\Opioids\Payments\Master\"/>
    </mc:Choice>
  </mc:AlternateContent>
  <xr:revisionPtr revIDLastSave="0" documentId="8_{ECC6D1DB-0A42-4A9F-A9E3-05DD79DDFA93}" xr6:coauthVersionLast="47" xr6:coauthVersionMax="47" xr10:uidLastSave="{00000000-0000-0000-0000-000000000000}"/>
  <bookViews>
    <workbookView xWindow="975" yWindow="-120" windowWidth="27945" windowHeight="16440" xr2:uid="{BCD3F44A-171F-43F2-B3AE-DAD34B81FE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0" i="1" l="1"/>
  <c r="AW29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C5" i="1"/>
  <c r="I12" i="1"/>
  <c r="E11" i="1" l="1"/>
  <c r="D12" i="1"/>
  <c r="C12" i="1"/>
  <c r="G47" i="1"/>
  <c r="H47" i="1" s="1"/>
  <c r="E97" i="1"/>
  <c r="E98" i="1"/>
  <c r="D36" i="1"/>
  <c r="C36" i="1"/>
  <c r="C43" i="1"/>
  <c r="C50" i="1"/>
  <c r="C57" i="1"/>
  <c r="C64" i="1"/>
  <c r="C70" i="1"/>
  <c r="C76" i="1"/>
  <c r="C81" i="1"/>
  <c r="C85" i="1"/>
  <c r="C89" i="1"/>
  <c r="C93" i="1"/>
  <c r="C96" i="1"/>
  <c r="C99" i="1"/>
  <c r="D29" i="1"/>
  <c r="C29" i="1"/>
  <c r="D43" i="1"/>
  <c r="D50" i="1"/>
  <c r="B106" i="1"/>
  <c r="B105" i="1"/>
  <c r="C9" i="1"/>
  <c r="B111" i="1"/>
  <c r="E96" i="1" l="1"/>
  <c r="C102" i="1"/>
  <c r="E24" i="1"/>
  <c r="E22" i="1"/>
  <c r="B110" i="1" l="1"/>
  <c r="G10" i="1" l="1"/>
  <c r="G11" i="1"/>
  <c r="G27" i="1"/>
  <c r="G28" i="1"/>
  <c r="G15" i="1"/>
  <c r="G16" i="1"/>
  <c r="G17" i="1"/>
  <c r="G18" i="1"/>
  <c r="G19" i="1"/>
  <c r="G21" i="1"/>
  <c r="G22" i="1"/>
  <c r="H22" i="1" s="1"/>
  <c r="G26" i="1"/>
  <c r="H26" i="1" s="1"/>
  <c r="G13" i="1"/>
  <c r="G14" i="1"/>
  <c r="G24" i="1"/>
  <c r="G25" i="1"/>
  <c r="G20" i="1"/>
  <c r="G23" i="1"/>
  <c r="G31" i="1"/>
  <c r="G33" i="1"/>
  <c r="G34" i="1"/>
  <c r="G35" i="1"/>
  <c r="G30" i="1"/>
  <c r="G32" i="1"/>
  <c r="G38" i="1"/>
  <c r="G40" i="1"/>
  <c r="G41" i="1"/>
  <c r="G42" i="1"/>
  <c r="G37" i="1"/>
  <c r="G39" i="1"/>
  <c r="G45" i="1"/>
  <c r="G48" i="1"/>
  <c r="G49" i="1"/>
  <c r="G44" i="1"/>
  <c r="G46" i="1"/>
  <c r="G52" i="1"/>
  <c r="G54" i="1"/>
  <c r="G55" i="1"/>
  <c r="G56" i="1"/>
  <c r="G51" i="1"/>
  <c r="G53" i="1"/>
  <c r="G59" i="1"/>
  <c r="G61" i="1"/>
  <c r="G62" i="1"/>
  <c r="G63" i="1"/>
  <c r="G58" i="1"/>
  <c r="G60" i="1"/>
  <c r="G66" i="1"/>
  <c r="G68" i="1"/>
  <c r="G69" i="1"/>
  <c r="G65" i="1"/>
  <c r="G67" i="1"/>
  <c r="G72" i="1"/>
  <c r="G74" i="1"/>
  <c r="G75" i="1"/>
  <c r="G71" i="1"/>
  <c r="G73" i="1"/>
  <c r="G79" i="1"/>
  <c r="G80" i="1"/>
  <c r="G77" i="1"/>
  <c r="G78" i="1"/>
  <c r="G83" i="1"/>
  <c r="G84" i="1"/>
  <c r="G82" i="1"/>
  <c r="G87" i="1"/>
  <c r="G88" i="1"/>
  <c r="G86" i="1"/>
  <c r="G91" i="1"/>
  <c r="G92" i="1"/>
  <c r="G90" i="1"/>
  <c r="G95" i="1"/>
  <c r="G94" i="1"/>
  <c r="G98" i="1"/>
  <c r="G97" i="1"/>
  <c r="G100" i="1"/>
  <c r="G6" i="1"/>
  <c r="G8" i="1"/>
  <c r="G7" i="1"/>
  <c r="E95" i="1"/>
  <c r="F95" i="1"/>
  <c r="F90" i="1"/>
  <c r="E75" i="1"/>
  <c r="E15" i="1"/>
  <c r="G36" i="1" l="1"/>
  <c r="G43" i="1"/>
  <c r="G29" i="1"/>
  <c r="G50" i="1"/>
  <c r="G57" i="1"/>
  <c r="G64" i="1"/>
  <c r="G70" i="1"/>
  <c r="G85" i="1"/>
  <c r="G93" i="1"/>
  <c r="G89" i="1"/>
  <c r="G81" i="1"/>
  <c r="G76" i="1"/>
  <c r="G96" i="1"/>
  <c r="H13" i="1"/>
  <c r="G12" i="1"/>
  <c r="H14" i="1"/>
  <c r="G9" i="1"/>
  <c r="G99" i="1"/>
  <c r="E14" i="1"/>
  <c r="AW14" i="1" s="1"/>
  <c r="F14" i="1"/>
  <c r="E100" i="1"/>
  <c r="E94" i="1"/>
  <c r="E93" i="1" s="1"/>
  <c r="E92" i="1"/>
  <c r="E90" i="1"/>
  <c r="E91" i="1"/>
  <c r="E88" i="1"/>
  <c r="E86" i="1"/>
  <c r="E87" i="1"/>
  <c r="E84" i="1"/>
  <c r="E82" i="1"/>
  <c r="E83" i="1"/>
  <c r="E80" i="1"/>
  <c r="E77" i="1"/>
  <c r="E78" i="1"/>
  <c r="E79" i="1"/>
  <c r="E74" i="1"/>
  <c r="E71" i="1"/>
  <c r="E73" i="1"/>
  <c r="E72" i="1"/>
  <c r="E67" i="1"/>
  <c r="E68" i="1"/>
  <c r="E69" i="1"/>
  <c r="E65" i="1"/>
  <c r="E66" i="1"/>
  <c r="E61" i="1"/>
  <c r="E62" i="1"/>
  <c r="E63" i="1"/>
  <c r="E58" i="1"/>
  <c r="E60" i="1"/>
  <c r="E59" i="1"/>
  <c r="E54" i="1"/>
  <c r="E55" i="1"/>
  <c r="E56" i="1"/>
  <c r="E51" i="1"/>
  <c r="E53" i="1"/>
  <c r="E52" i="1"/>
  <c r="E47" i="1"/>
  <c r="E48" i="1"/>
  <c r="E49" i="1"/>
  <c r="E44" i="1"/>
  <c r="E46" i="1"/>
  <c r="E45" i="1"/>
  <c r="E40" i="1"/>
  <c r="E41" i="1"/>
  <c r="E42" i="1"/>
  <c r="E37" i="1"/>
  <c r="E39" i="1"/>
  <c r="E38" i="1"/>
  <c r="E33" i="1"/>
  <c r="E34" i="1"/>
  <c r="E35" i="1"/>
  <c r="E30" i="1"/>
  <c r="E32" i="1"/>
  <c r="E31" i="1"/>
  <c r="E28" i="1"/>
  <c r="E16" i="1"/>
  <c r="E17" i="1"/>
  <c r="E18" i="1"/>
  <c r="E19" i="1"/>
  <c r="E21" i="1"/>
  <c r="E26" i="1"/>
  <c r="E13" i="1"/>
  <c r="E25" i="1"/>
  <c r="E20" i="1"/>
  <c r="E23" i="1"/>
  <c r="E27" i="1"/>
  <c r="E10" i="1"/>
  <c r="E8" i="1"/>
  <c r="AW8" i="1" s="1"/>
  <c r="E6" i="1"/>
  <c r="AW6" i="1" s="1"/>
  <c r="E7" i="1"/>
  <c r="AW7" i="1" s="1"/>
  <c r="H100" i="1"/>
  <c r="H98" i="1"/>
  <c r="H96" i="1" s="1"/>
  <c r="H95" i="1"/>
  <c r="H91" i="1"/>
  <c r="H89" i="1" s="1"/>
  <c r="H87" i="1"/>
  <c r="H85" i="1" s="1"/>
  <c r="H83" i="1"/>
  <c r="H81" i="1" s="1"/>
  <c r="H79" i="1"/>
  <c r="H76" i="1" s="1"/>
  <c r="H72" i="1"/>
  <c r="H74" i="1"/>
  <c r="H68" i="1"/>
  <c r="H66" i="1"/>
  <c r="H59" i="1"/>
  <c r="H54" i="1"/>
  <c r="H52" i="1"/>
  <c r="H33" i="1"/>
  <c r="H38" i="1"/>
  <c r="H40" i="1"/>
  <c r="I40" i="1" s="1"/>
  <c r="H61" i="1"/>
  <c r="I61" i="1" s="1"/>
  <c r="H31" i="1"/>
  <c r="H7" i="1"/>
  <c r="I7" i="1" s="1"/>
  <c r="H8" i="1"/>
  <c r="H6" i="1"/>
  <c r="H10" i="1"/>
  <c r="H11" i="1"/>
  <c r="B112" i="1"/>
  <c r="B109" i="1"/>
  <c r="B108" i="1"/>
  <c r="B107" i="1"/>
  <c r="E29" i="1" l="1"/>
  <c r="H29" i="1"/>
  <c r="H36" i="1"/>
  <c r="H57" i="1"/>
  <c r="E36" i="1"/>
  <c r="G102" i="1"/>
  <c r="E43" i="1"/>
  <c r="E50" i="1"/>
  <c r="H50" i="1"/>
  <c r="E57" i="1"/>
  <c r="H64" i="1"/>
  <c r="E64" i="1"/>
  <c r="H70" i="1"/>
  <c r="E70" i="1"/>
  <c r="I95" i="1"/>
  <c r="H93" i="1"/>
  <c r="E85" i="1"/>
  <c r="E89" i="1"/>
  <c r="E81" i="1"/>
  <c r="AW77" i="1"/>
  <c r="E76" i="1"/>
  <c r="E12" i="1"/>
  <c r="I14" i="1"/>
  <c r="AA14" i="1" s="1"/>
  <c r="H12" i="1"/>
  <c r="H9" i="1"/>
  <c r="B113" i="1"/>
  <c r="X14" i="1" l="1"/>
  <c r="AT14" i="1"/>
  <c r="AJ14" i="1"/>
  <c r="N14" i="1"/>
  <c r="S14" i="1"/>
  <c r="W14" i="1"/>
  <c r="AS14" i="1"/>
  <c r="AP14" i="1"/>
  <c r="AO14" i="1"/>
  <c r="R14" i="1"/>
  <c r="K14" i="1"/>
  <c r="P14" i="1"/>
  <c r="AC14" i="1"/>
  <c r="AG14" i="1"/>
  <c r="AU14" i="1"/>
  <c r="L14" i="1"/>
  <c r="U14" i="1"/>
  <c r="AL14" i="1"/>
  <c r="AM14" i="1"/>
  <c r="O14" i="1"/>
  <c r="AB14" i="1"/>
  <c r="AV14" i="1"/>
  <c r="T14" i="1"/>
  <c r="Q14" i="1"/>
  <c r="M14" i="1"/>
  <c r="J14" i="1"/>
  <c r="AK14" i="1"/>
  <c r="AI14" i="1"/>
  <c r="AE14" i="1"/>
  <c r="AF14" i="1"/>
  <c r="V14" i="1"/>
  <c r="AN14" i="1"/>
  <c r="AR14" i="1"/>
  <c r="AQ14" i="1"/>
  <c r="AH14" i="1"/>
  <c r="Z14" i="1"/>
  <c r="AD14" i="1"/>
  <c r="Y14" i="1"/>
  <c r="I68" i="1"/>
  <c r="J68" i="1" s="1"/>
  <c r="H45" i="1"/>
  <c r="F47" i="1"/>
  <c r="F48" i="1"/>
  <c r="F49" i="1"/>
  <c r="F44" i="1"/>
  <c r="F46" i="1"/>
  <c r="F45" i="1"/>
  <c r="F15" i="1"/>
  <c r="F16" i="1"/>
  <c r="F17" i="1"/>
  <c r="F18" i="1"/>
  <c r="F19" i="1"/>
  <c r="F21" i="1"/>
  <c r="F22" i="1"/>
  <c r="F26" i="1"/>
  <c r="F13" i="1"/>
  <c r="F24" i="1"/>
  <c r="F25" i="1"/>
  <c r="F20" i="1"/>
  <c r="F23" i="1"/>
  <c r="F28" i="1"/>
  <c r="I18" i="1"/>
  <c r="J18" i="1" s="1"/>
  <c r="AW13" i="1"/>
  <c r="F43" i="1" l="1"/>
  <c r="H43" i="1"/>
  <c r="I13" i="1"/>
  <c r="AW10" i="1"/>
  <c r="AW11" i="1"/>
  <c r="AW15" i="1"/>
  <c r="AW16" i="1"/>
  <c r="AW17" i="1"/>
  <c r="AW18" i="1"/>
  <c r="AW19" i="1"/>
  <c r="AW21" i="1"/>
  <c r="AW22" i="1"/>
  <c r="AW26" i="1"/>
  <c r="AW24" i="1"/>
  <c r="AW25" i="1"/>
  <c r="AW20" i="1"/>
  <c r="AW23" i="1"/>
  <c r="AW31" i="1"/>
  <c r="AW33" i="1"/>
  <c r="AW34" i="1"/>
  <c r="AW35" i="1"/>
  <c r="AW32" i="1"/>
  <c r="AW38" i="1"/>
  <c r="AW40" i="1"/>
  <c r="AW41" i="1"/>
  <c r="AW42" i="1"/>
  <c r="AW37" i="1"/>
  <c r="AW39" i="1"/>
  <c r="AW45" i="1"/>
  <c r="AW47" i="1"/>
  <c r="AW48" i="1"/>
  <c r="AW49" i="1"/>
  <c r="AW44" i="1"/>
  <c r="AW46" i="1"/>
  <c r="AW52" i="1"/>
  <c r="AW54" i="1"/>
  <c r="AW55" i="1"/>
  <c r="AW56" i="1"/>
  <c r="AW51" i="1"/>
  <c r="AW53" i="1"/>
  <c r="AW59" i="1"/>
  <c r="AW61" i="1"/>
  <c r="AW62" i="1"/>
  <c r="AW63" i="1"/>
  <c r="AW58" i="1"/>
  <c r="AW60" i="1"/>
  <c r="AW66" i="1"/>
  <c r="AW68" i="1"/>
  <c r="AW69" i="1"/>
  <c r="AW65" i="1"/>
  <c r="AW67" i="1"/>
  <c r="AW72" i="1"/>
  <c r="AW74" i="1"/>
  <c r="AW75" i="1"/>
  <c r="AW71" i="1"/>
  <c r="AW73" i="1"/>
  <c r="AW79" i="1"/>
  <c r="AW80" i="1"/>
  <c r="AW78" i="1"/>
  <c r="AW83" i="1"/>
  <c r="AW84" i="1"/>
  <c r="AW82" i="1"/>
  <c r="AW87" i="1"/>
  <c r="AW88" i="1"/>
  <c r="AW86" i="1"/>
  <c r="AW91" i="1"/>
  <c r="AW92" i="1"/>
  <c r="AW90" i="1"/>
  <c r="AW95" i="1"/>
  <c r="AW94" i="1"/>
  <c r="AW98" i="1"/>
  <c r="AW97" i="1"/>
  <c r="AW100" i="1"/>
  <c r="AW99" i="1" s="1"/>
  <c r="E9" i="1"/>
  <c r="I58" i="1"/>
  <c r="I91" i="1"/>
  <c r="W91" i="1" s="1"/>
  <c r="I26" i="1"/>
  <c r="J26" i="1" s="1"/>
  <c r="I24" i="1"/>
  <c r="J24" i="1" s="1"/>
  <c r="I25" i="1"/>
  <c r="I20" i="1"/>
  <c r="I23" i="1"/>
  <c r="I22" i="1"/>
  <c r="L22" i="1" s="1"/>
  <c r="I11" i="1"/>
  <c r="I15" i="1"/>
  <c r="I16" i="1"/>
  <c r="I17" i="1"/>
  <c r="U18" i="1"/>
  <c r="I19" i="1"/>
  <c r="I21" i="1"/>
  <c r="I10" i="1"/>
  <c r="I8" i="1"/>
  <c r="I6" i="1"/>
  <c r="H99" i="1"/>
  <c r="H102" i="1" s="1"/>
  <c r="I31" i="1"/>
  <c r="I33" i="1"/>
  <c r="I34" i="1"/>
  <c r="I35" i="1"/>
  <c r="I30" i="1"/>
  <c r="I32" i="1"/>
  <c r="I38" i="1"/>
  <c r="J40" i="1"/>
  <c r="I41" i="1"/>
  <c r="I42" i="1"/>
  <c r="I37" i="1"/>
  <c r="I39" i="1"/>
  <c r="I45" i="1"/>
  <c r="AO45" i="1" s="1"/>
  <c r="I47" i="1"/>
  <c r="J47" i="1" s="1"/>
  <c r="I48" i="1"/>
  <c r="Q48" i="1" s="1"/>
  <c r="I49" i="1"/>
  <c r="W49" i="1" s="1"/>
  <c r="I44" i="1"/>
  <c r="I46" i="1"/>
  <c r="W46" i="1" s="1"/>
  <c r="I52" i="1"/>
  <c r="W52" i="1" s="1"/>
  <c r="I54" i="1"/>
  <c r="AB54" i="1" s="1"/>
  <c r="I55" i="1"/>
  <c r="N55" i="1" s="1"/>
  <c r="I56" i="1"/>
  <c r="Q56" i="1" s="1"/>
  <c r="I51" i="1"/>
  <c r="I53" i="1"/>
  <c r="S53" i="1" s="1"/>
  <c r="I59" i="1"/>
  <c r="N59" i="1" s="1"/>
  <c r="S61" i="1"/>
  <c r="I62" i="1"/>
  <c r="S62" i="1" s="1"/>
  <c r="I63" i="1"/>
  <c r="X63" i="1" s="1"/>
  <c r="I60" i="1"/>
  <c r="X60" i="1" s="1"/>
  <c r="I66" i="1"/>
  <c r="L66" i="1" s="1"/>
  <c r="K68" i="1"/>
  <c r="I69" i="1"/>
  <c r="X69" i="1" s="1"/>
  <c r="I65" i="1"/>
  <c r="I67" i="1"/>
  <c r="K67" i="1" s="1"/>
  <c r="I72" i="1"/>
  <c r="Y72" i="1" s="1"/>
  <c r="I74" i="1"/>
  <c r="R74" i="1" s="1"/>
  <c r="I75" i="1"/>
  <c r="AE75" i="1" s="1"/>
  <c r="I71" i="1"/>
  <c r="I73" i="1"/>
  <c r="R73" i="1" s="1"/>
  <c r="I79" i="1"/>
  <c r="U79" i="1" s="1"/>
  <c r="I80" i="1"/>
  <c r="N80" i="1" s="1"/>
  <c r="I77" i="1"/>
  <c r="I78" i="1"/>
  <c r="AB78" i="1" s="1"/>
  <c r="I83" i="1"/>
  <c r="Q83" i="1" s="1"/>
  <c r="I84" i="1"/>
  <c r="O84" i="1" s="1"/>
  <c r="I82" i="1"/>
  <c r="I87" i="1"/>
  <c r="K87" i="1" s="1"/>
  <c r="I88" i="1"/>
  <c r="Q88" i="1" s="1"/>
  <c r="I86" i="1"/>
  <c r="I92" i="1"/>
  <c r="Q92" i="1" s="1"/>
  <c r="I90" i="1"/>
  <c r="N95" i="1"/>
  <c r="I94" i="1"/>
  <c r="I98" i="1"/>
  <c r="J98" i="1" s="1"/>
  <c r="I97" i="1"/>
  <c r="I100" i="1"/>
  <c r="E99" i="1"/>
  <c r="I28" i="1"/>
  <c r="J28" i="1" s="1"/>
  <c r="F27" i="1"/>
  <c r="F12" i="1" s="1"/>
  <c r="F10" i="1"/>
  <c r="F11" i="1"/>
  <c r="F31" i="1"/>
  <c r="F33" i="1"/>
  <c r="F34" i="1"/>
  <c r="F35" i="1"/>
  <c r="F30" i="1"/>
  <c r="F32" i="1"/>
  <c r="F38" i="1"/>
  <c r="F40" i="1"/>
  <c r="F41" i="1"/>
  <c r="F42" i="1"/>
  <c r="F37" i="1"/>
  <c r="F39" i="1"/>
  <c r="F52" i="1"/>
  <c r="F54" i="1"/>
  <c r="F55" i="1"/>
  <c r="F56" i="1"/>
  <c r="F51" i="1"/>
  <c r="F53" i="1"/>
  <c r="F59" i="1"/>
  <c r="F61" i="1"/>
  <c r="F62" i="1"/>
  <c r="F63" i="1"/>
  <c r="F58" i="1"/>
  <c r="F60" i="1"/>
  <c r="F66" i="1"/>
  <c r="F68" i="1"/>
  <c r="F69" i="1"/>
  <c r="F65" i="1"/>
  <c r="F67" i="1"/>
  <c r="F72" i="1"/>
  <c r="F74" i="1"/>
  <c r="F75" i="1"/>
  <c r="F71" i="1"/>
  <c r="F73" i="1"/>
  <c r="F79" i="1"/>
  <c r="F80" i="1"/>
  <c r="F77" i="1"/>
  <c r="F78" i="1"/>
  <c r="F83" i="1"/>
  <c r="F84" i="1"/>
  <c r="F82" i="1"/>
  <c r="F87" i="1"/>
  <c r="F88" i="1"/>
  <c r="F86" i="1"/>
  <c r="F91" i="1"/>
  <c r="F92" i="1"/>
  <c r="F94" i="1"/>
  <c r="F93" i="1" s="1"/>
  <c r="F98" i="1"/>
  <c r="F97" i="1"/>
  <c r="F100" i="1"/>
  <c r="F99" i="1" s="1"/>
  <c r="AW36" i="1" l="1"/>
  <c r="I89" i="1"/>
  <c r="AW96" i="1"/>
  <c r="F36" i="1"/>
  <c r="I36" i="1"/>
  <c r="F29" i="1"/>
  <c r="I29" i="1"/>
  <c r="L44" i="1"/>
  <c r="I43" i="1"/>
  <c r="AW43" i="1"/>
  <c r="AW57" i="1"/>
  <c r="F57" i="1"/>
  <c r="F50" i="1"/>
  <c r="AW50" i="1"/>
  <c r="AW93" i="1"/>
  <c r="Y51" i="1"/>
  <c r="I50" i="1"/>
  <c r="L58" i="1"/>
  <c r="I57" i="1"/>
  <c r="AW64" i="1"/>
  <c r="F64" i="1"/>
  <c r="AB65" i="1"/>
  <c r="I64" i="1"/>
  <c r="AW70" i="1"/>
  <c r="M71" i="1"/>
  <c r="I70" i="1"/>
  <c r="AW81" i="1"/>
  <c r="F70" i="1"/>
  <c r="Y94" i="1"/>
  <c r="I93" i="1"/>
  <c r="AW85" i="1"/>
  <c r="AW89" i="1"/>
  <c r="Q90" i="1"/>
  <c r="F85" i="1"/>
  <c r="T86" i="1"/>
  <c r="I85" i="1"/>
  <c r="F89" i="1"/>
  <c r="F81" i="1"/>
  <c r="L82" i="1"/>
  <c r="I81" i="1"/>
  <c r="W77" i="1"/>
  <c r="AV77" i="1"/>
  <c r="I76" i="1"/>
  <c r="F76" i="1"/>
  <c r="AW76" i="1"/>
  <c r="F96" i="1"/>
  <c r="X97" i="1"/>
  <c r="I96" i="1"/>
  <c r="M22" i="1"/>
  <c r="J13" i="1"/>
  <c r="L13" i="1"/>
  <c r="AS13" i="1"/>
  <c r="X13" i="1"/>
  <c r="AP13" i="1"/>
  <c r="M13" i="1"/>
  <c r="Y13" i="1"/>
  <c r="AV13" i="1"/>
  <c r="AT13" i="1"/>
  <c r="AL13" i="1"/>
  <c r="P13" i="1"/>
  <c r="AC13" i="1"/>
  <c r="AG13" i="1"/>
  <c r="N13" i="1"/>
  <c r="Z13" i="1"/>
  <c r="AM13" i="1"/>
  <c r="AF13" i="1"/>
  <c r="AB13" i="1"/>
  <c r="V13" i="1"/>
  <c r="AU13" i="1"/>
  <c r="AQ13" i="1"/>
  <c r="AK13" i="1"/>
  <c r="AH13" i="1"/>
  <c r="R13" i="1"/>
  <c r="AI13" i="1"/>
  <c r="AD13" i="1"/>
  <c r="T13" i="1"/>
  <c r="S13" i="1"/>
  <c r="O13" i="1"/>
  <c r="Q13" i="1"/>
  <c r="AA13" i="1"/>
  <c r="K13" i="1"/>
  <c r="AR13" i="1"/>
  <c r="W13" i="1"/>
  <c r="AJ13" i="1"/>
  <c r="AO13" i="1"/>
  <c r="AE13" i="1"/>
  <c r="U13" i="1"/>
  <c r="AN13" i="1"/>
  <c r="E102" i="1"/>
  <c r="T34" i="1"/>
  <c r="J34" i="1"/>
  <c r="V15" i="1"/>
  <c r="J15" i="1"/>
  <c r="X42" i="1"/>
  <c r="J42" i="1"/>
  <c r="I27" i="1"/>
  <c r="J27" i="1" s="1"/>
  <c r="N37" i="1"/>
  <c r="J37" i="1"/>
  <c r="X41" i="1"/>
  <c r="J41" i="1"/>
  <c r="T32" i="1"/>
  <c r="J32" i="1"/>
  <c r="Q25" i="1"/>
  <c r="J25" i="1"/>
  <c r="M23" i="1"/>
  <c r="J23" i="1"/>
  <c r="D102" i="1"/>
  <c r="T19" i="1"/>
  <c r="J19" i="1"/>
  <c r="Q20" i="1"/>
  <c r="J20" i="1"/>
  <c r="X30" i="1"/>
  <c r="J30" i="1"/>
  <c r="V17" i="1"/>
  <c r="J17" i="1"/>
  <c r="T21" i="1"/>
  <c r="J21" i="1"/>
  <c r="P39" i="1"/>
  <c r="J39" i="1"/>
  <c r="Z35" i="1"/>
  <c r="J35" i="1"/>
  <c r="P16" i="1"/>
  <c r="J16" i="1"/>
  <c r="X100" i="1"/>
  <c r="J100" i="1"/>
  <c r="AA38" i="1"/>
  <c r="J38" i="1"/>
  <c r="T33" i="1"/>
  <c r="J33" i="1"/>
  <c r="AP33" i="1"/>
  <c r="U31" i="1"/>
  <c r="J31" i="1"/>
  <c r="Z8" i="1"/>
  <c r="J8" i="1"/>
  <c r="J7" i="1"/>
  <c r="K7" i="1"/>
  <c r="J6" i="1"/>
  <c r="K6" i="1"/>
  <c r="AQ31" i="1"/>
  <c r="AO31" i="1"/>
  <c r="AI6" i="1"/>
  <c r="Q31" i="1"/>
  <c r="M31" i="1"/>
  <c r="AL6" i="1"/>
  <c r="AI31" i="1"/>
  <c r="AK31" i="1"/>
  <c r="AE6" i="1"/>
  <c r="O31" i="1"/>
  <c r="AE31" i="1"/>
  <c r="AC31" i="1"/>
  <c r="M6" i="1"/>
  <c r="Q6" i="1"/>
  <c r="AJ6" i="1"/>
  <c r="AO6" i="1"/>
  <c r="AA6" i="1"/>
  <c r="O6" i="1"/>
  <c r="AL31" i="1"/>
  <c r="AH31" i="1"/>
  <c r="AP6" i="1"/>
  <c r="AH6" i="1"/>
  <c r="AQ6" i="1"/>
  <c r="AK6" i="1"/>
  <c r="AC6" i="1"/>
  <c r="AP31" i="1"/>
  <c r="AJ31" i="1"/>
  <c r="AA31" i="1"/>
  <c r="J10" i="1"/>
  <c r="AL10" i="1"/>
  <c r="AA10" i="1"/>
  <c r="M10" i="1"/>
  <c r="AK10" i="1"/>
  <c r="AP10" i="1"/>
  <c r="AC10" i="1"/>
  <c r="Q10" i="1"/>
  <c r="AQ10" i="1"/>
  <c r="AI10" i="1"/>
  <c r="AE10" i="1"/>
  <c r="AH10" i="1"/>
  <c r="AJ10" i="1"/>
  <c r="AO10" i="1"/>
  <c r="O10" i="1"/>
  <c r="L11" i="1"/>
  <c r="J11" i="1"/>
  <c r="O11" i="1"/>
  <c r="AP11" i="1"/>
  <c r="M11" i="1"/>
  <c r="AI11" i="1"/>
  <c r="K22" i="1"/>
  <c r="J22" i="1"/>
  <c r="AO22" i="1"/>
  <c r="Q22" i="1"/>
  <c r="AA22" i="1"/>
  <c r="AP22" i="1"/>
  <c r="AJ22" i="1"/>
  <c r="AL22" i="1"/>
  <c r="AH22" i="1"/>
  <c r="AI22" i="1"/>
  <c r="AQ22" i="1"/>
  <c r="AE22" i="1"/>
  <c r="AK22" i="1"/>
  <c r="AC22" i="1"/>
  <c r="O22" i="1"/>
  <c r="Y7" i="1"/>
  <c r="S6" i="1"/>
  <c r="AW9" i="1"/>
  <c r="R24" i="1"/>
  <c r="AL24" i="1"/>
  <c r="AK24" i="1"/>
  <c r="AP24" i="1"/>
  <c r="AC24" i="1"/>
  <c r="S26" i="1"/>
  <c r="K26" i="1"/>
  <c r="M26" i="1"/>
  <c r="AW28" i="1"/>
  <c r="AW27" i="1"/>
  <c r="R35" i="1"/>
  <c r="F9" i="1"/>
  <c r="J56" i="1"/>
  <c r="L71" i="1"/>
  <c r="K10" i="1"/>
  <c r="Q39" i="1"/>
  <c r="L31" i="1"/>
  <c r="T97" i="1"/>
  <c r="I9" i="1"/>
  <c r="M77" i="1"/>
  <c r="U68" i="1"/>
  <c r="J77" i="1"/>
  <c r="M15" i="1"/>
  <c r="W82" i="1"/>
  <c r="N68" i="1"/>
  <c r="Y88" i="1"/>
  <c r="O87" i="1"/>
  <c r="AC82" i="1"/>
  <c r="K74" i="1"/>
  <c r="P56" i="1"/>
  <c r="J82" i="1"/>
  <c r="J51" i="1"/>
  <c r="K98" i="1"/>
  <c r="K71" i="1"/>
  <c r="K11" i="1"/>
  <c r="L79" i="1"/>
  <c r="L41" i="1"/>
  <c r="M82" i="1"/>
  <c r="M20" i="1"/>
  <c r="N74" i="1"/>
  <c r="O100" i="1"/>
  <c r="P69" i="1"/>
  <c r="R48" i="1"/>
  <c r="S17" i="1"/>
  <c r="U83" i="1"/>
  <c r="X31" i="1"/>
  <c r="AB37" i="1"/>
  <c r="J71" i="1"/>
  <c r="J52" i="1"/>
  <c r="K92" i="1"/>
  <c r="K69" i="1"/>
  <c r="L97" i="1"/>
  <c r="L74" i="1"/>
  <c r="L19" i="1"/>
  <c r="N58" i="1"/>
  <c r="O74" i="1"/>
  <c r="P37" i="1"/>
  <c r="R8" i="1"/>
  <c r="T77" i="1"/>
  <c r="U54" i="1"/>
  <c r="W65" i="1"/>
  <c r="Y74" i="1"/>
  <c r="AG100" i="1"/>
  <c r="K90" i="1"/>
  <c r="J67" i="1"/>
  <c r="J46" i="1"/>
  <c r="K91" i="1"/>
  <c r="K66" i="1"/>
  <c r="L98" i="1"/>
  <c r="L69" i="1"/>
  <c r="L15" i="1"/>
  <c r="M67" i="1"/>
  <c r="N61" i="1"/>
  <c r="O61" i="1"/>
  <c r="P31" i="1"/>
  <c r="Q16" i="1"/>
  <c r="S92" i="1"/>
  <c r="T66" i="1"/>
  <c r="U38" i="1"/>
  <c r="W54" i="1"/>
  <c r="Y48" i="1"/>
  <c r="J66" i="1"/>
  <c r="J48" i="1"/>
  <c r="K88" i="1"/>
  <c r="K58" i="1"/>
  <c r="L90" i="1"/>
  <c r="M58" i="1"/>
  <c r="N100" i="1"/>
  <c r="N49" i="1"/>
  <c r="O49" i="1"/>
  <c r="R100" i="1"/>
  <c r="S80" i="1"/>
  <c r="T46" i="1"/>
  <c r="U19" i="1"/>
  <c r="W40" i="1"/>
  <c r="Y26" i="1"/>
  <c r="J58" i="1"/>
  <c r="K82" i="1"/>
  <c r="K24" i="1"/>
  <c r="L88" i="1"/>
  <c r="M61" i="1"/>
  <c r="N90" i="1"/>
  <c r="N42" i="1"/>
  <c r="O8" i="1"/>
  <c r="Q95" i="1"/>
  <c r="R82" i="1"/>
  <c r="S63" i="1"/>
  <c r="W8" i="1"/>
  <c r="Z91" i="1"/>
  <c r="J62" i="1"/>
  <c r="K83" i="1"/>
  <c r="K19" i="1"/>
  <c r="L59" i="1"/>
  <c r="M7" i="1"/>
  <c r="M48" i="1"/>
  <c r="N87" i="1"/>
  <c r="N23" i="1"/>
  <c r="P95" i="1"/>
  <c r="Q78" i="1"/>
  <c r="R72" i="1"/>
  <c r="S49" i="1"/>
  <c r="V65" i="1"/>
  <c r="X92" i="1"/>
  <c r="Z63" i="1"/>
  <c r="J91" i="1"/>
  <c r="J61" i="1"/>
  <c r="K97" i="1"/>
  <c r="K79" i="1"/>
  <c r="K15" i="1"/>
  <c r="L83" i="1"/>
  <c r="M91" i="1"/>
  <c r="M42" i="1"/>
  <c r="N15" i="1"/>
  <c r="P77" i="1"/>
  <c r="Q69" i="1"/>
  <c r="R61" i="1"/>
  <c r="S34" i="1"/>
  <c r="U97" i="1"/>
  <c r="V38" i="1"/>
  <c r="X61" i="1"/>
  <c r="Z34" i="1"/>
  <c r="AV28" i="1"/>
  <c r="AT28" i="1"/>
  <c r="AS28" i="1"/>
  <c r="AU28" i="1"/>
  <c r="AP28" i="1"/>
  <c r="AR28" i="1"/>
  <c r="AO28" i="1"/>
  <c r="AK28" i="1"/>
  <c r="AL28" i="1"/>
  <c r="AN28" i="1"/>
  <c r="AM28" i="1"/>
  <c r="AQ28" i="1"/>
  <c r="AI28" i="1"/>
  <c r="AJ28" i="1"/>
  <c r="AG28" i="1"/>
  <c r="AC28" i="1"/>
  <c r="AE28" i="1"/>
  <c r="AA28" i="1"/>
  <c r="AF28" i="1"/>
  <c r="AD28" i="1"/>
  <c r="AH28" i="1"/>
  <c r="Z28" i="1"/>
  <c r="T28" i="1"/>
  <c r="O28" i="1"/>
  <c r="N28" i="1"/>
  <c r="V28" i="1"/>
  <c r="M28" i="1"/>
  <c r="AB28" i="1"/>
  <c r="L28" i="1"/>
  <c r="W28" i="1"/>
  <c r="U28" i="1"/>
  <c r="R28" i="1"/>
  <c r="Y28" i="1"/>
  <c r="Q28" i="1"/>
  <c r="X28" i="1"/>
  <c r="S28" i="1"/>
  <c r="P28" i="1"/>
  <c r="K28" i="1"/>
  <c r="K45" i="1"/>
  <c r="V84" i="1"/>
  <c r="AU80" i="1"/>
  <c r="AQ80" i="1"/>
  <c r="AV80" i="1"/>
  <c r="AS80" i="1"/>
  <c r="AL80" i="1"/>
  <c r="AM80" i="1"/>
  <c r="AI80" i="1"/>
  <c r="AR80" i="1"/>
  <c r="AJ80" i="1"/>
  <c r="AN80" i="1"/>
  <c r="AH80" i="1"/>
  <c r="AD80" i="1"/>
  <c r="AP80" i="1"/>
  <c r="AK80" i="1"/>
  <c r="AF80" i="1"/>
  <c r="AT80" i="1"/>
  <c r="AO80" i="1"/>
  <c r="AE80" i="1"/>
  <c r="AG80" i="1"/>
  <c r="AC80" i="1"/>
  <c r="AB80" i="1"/>
  <c r="Y80" i="1"/>
  <c r="U80" i="1"/>
  <c r="AP44" i="1"/>
  <c r="AQ44" i="1"/>
  <c r="AV44" i="1"/>
  <c r="AR44" i="1"/>
  <c r="AT44" i="1"/>
  <c r="AU44" i="1"/>
  <c r="AN44" i="1"/>
  <c r="AI44" i="1"/>
  <c r="AJ44" i="1"/>
  <c r="AS44" i="1"/>
  <c r="AO44" i="1"/>
  <c r="AK44" i="1"/>
  <c r="AL44" i="1"/>
  <c r="AB44" i="1"/>
  <c r="AE44" i="1"/>
  <c r="AF44" i="1"/>
  <c r="AG44" i="1"/>
  <c r="AC44" i="1"/>
  <c r="AM44" i="1"/>
  <c r="AH44" i="1"/>
  <c r="Y44" i="1"/>
  <c r="AD44" i="1"/>
  <c r="V44" i="1"/>
  <c r="M44" i="1"/>
  <c r="W44" i="1"/>
  <c r="S44" i="1"/>
  <c r="R44" i="1"/>
  <c r="AV16" i="1"/>
  <c r="AR16" i="1"/>
  <c r="AT16" i="1"/>
  <c r="AS16" i="1"/>
  <c r="AU16" i="1"/>
  <c r="AQ16" i="1"/>
  <c r="AO16" i="1"/>
  <c r="AK16" i="1"/>
  <c r="AP16" i="1"/>
  <c r="AL16" i="1"/>
  <c r="AN16" i="1"/>
  <c r="AI16" i="1"/>
  <c r="AH16" i="1"/>
  <c r="AF16" i="1"/>
  <c r="AJ16" i="1"/>
  <c r="AG16" i="1"/>
  <c r="AD16" i="1"/>
  <c r="Z16" i="1"/>
  <c r="AB16" i="1"/>
  <c r="AA16" i="1"/>
  <c r="AE16" i="1"/>
  <c r="W16" i="1"/>
  <c r="S16" i="1"/>
  <c r="R16" i="1"/>
  <c r="AM16" i="1"/>
  <c r="AC16" i="1"/>
  <c r="Y16" i="1"/>
  <c r="U16" i="1"/>
  <c r="J94" i="1"/>
  <c r="K59" i="1"/>
  <c r="K31" i="1"/>
  <c r="L30" i="1"/>
  <c r="M21" i="1"/>
  <c r="AV98" i="1"/>
  <c r="AR98" i="1"/>
  <c r="AT98" i="1"/>
  <c r="AS98" i="1"/>
  <c r="AP98" i="1"/>
  <c r="AM98" i="1"/>
  <c r="AJ98" i="1"/>
  <c r="AO98" i="1"/>
  <c r="AK98" i="1"/>
  <c r="AQ98" i="1"/>
  <c r="AN98" i="1"/>
  <c r="AE98" i="1"/>
  <c r="AA98" i="1"/>
  <c r="AU98" i="1"/>
  <c r="AL98" i="1"/>
  <c r="AG98" i="1"/>
  <c r="AC98" i="1"/>
  <c r="AI98" i="1"/>
  <c r="AF98" i="1"/>
  <c r="AH98" i="1"/>
  <c r="AD98" i="1"/>
  <c r="Z98" i="1"/>
  <c r="V98" i="1"/>
  <c r="X98" i="1"/>
  <c r="Q98" i="1"/>
  <c r="T98" i="1"/>
  <c r="P98" i="1"/>
  <c r="AQ82" i="1"/>
  <c r="AV82" i="1"/>
  <c r="AR82" i="1"/>
  <c r="AT82" i="1"/>
  <c r="AS82" i="1"/>
  <c r="AU82" i="1"/>
  <c r="AI82" i="1"/>
  <c r="AP82" i="1"/>
  <c r="AJ82" i="1"/>
  <c r="AO82" i="1"/>
  <c r="AK82" i="1"/>
  <c r="AL82" i="1"/>
  <c r="AM82" i="1"/>
  <c r="AN82" i="1"/>
  <c r="AF82" i="1"/>
  <c r="AG82" i="1"/>
  <c r="AH82" i="1"/>
  <c r="AD82" i="1"/>
  <c r="AE82" i="1"/>
  <c r="Z82" i="1"/>
  <c r="X82" i="1"/>
  <c r="AA82" i="1"/>
  <c r="AB82" i="1"/>
  <c r="O82" i="1"/>
  <c r="N82" i="1"/>
  <c r="AQ71" i="1"/>
  <c r="AV71" i="1"/>
  <c r="AR71" i="1"/>
  <c r="AT71" i="1"/>
  <c r="AS71" i="1"/>
  <c r="AU71" i="1"/>
  <c r="AI71" i="1"/>
  <c r="AJ71" i="1"/>
  <c r="AO71" i="1"/>
  <c r="AK71" i="1"/>
  <c r="AP71" i="1"/>
  <c r="AL71" i="1"/>
  <c r="AM71" i="1"/>
  <c r="AF71" i="1"/>
  <c r="AG71" i="1"/>
  <c r="AC71" i="1"/>
  <c r="AH71" i="1"/>
  <c r="AD71" i="1"/>
  <c r="AB71" i="1"/>
  <c r="Z71" i="1"/>
  <c r="X71" i="1"/>
  <c r="AN71" i="1"/>
  <c r="AE71" i="1"/>
  <c r="O71" i="1"/>
  <c r="N71" i="1"/>
  <c r="AQ66" i="1"/>
  <c r="AV66" i="1"/>
  <c r="AR66" i="1"/>
  <c r="AT66" i="1"/>
  <c r="AS66" i="1"/>
  <c r="AU66" i="1"/>
  <c r="AP66" i="1"/>
  <c r="AI66" i="1"/>
  <c r="AJ66" i="1"/>
  <c r="AO66" i="1"/>
  <c r="AK66" i="1"/>
  <c r="AL66" i="1"/>
  <c r="AM66" i="1"/>
  <c r="AF66" i="1"/>
  <c r="AG66" i="1"/>
  <c r="AC66" i="1"/>
  <c r="AN66" i="1"/>
  <c r="AH66" i="1"/>
  <c r="AD66" i="1"/>
  <c r="Z66" i="1"/>
  <c r="AB66" i="1"/>
  <c r="X66" i="1"/>
  <c r="AE66" i="1"/>
  <c r="O66" i="1"/>
  <c r="N66" i="1"/>
  <c r="AV56" i="1"/>
  <c r="AR56" i="1"/>
  <c r="AT56" i="1"/>
  <c r="AS56" i="1"/>
  <c r="AU56" i="1"/>
  <c r="AQ56" i="1"/>
  <c r="AO56" i="1"/>
  <c r="AK56" i="1"/>
  <c r="AP56" i="1"/>
  <c r="AL56" i="1"/>
  <c r="AN56" i="1"/>
  <c r="AI56" i="1"/>
  <c r="AF56" i="1"/>
  <c r="AJ56" i="1"/>
  <c r="AG56" i="1"/>
  <c r="AH56" i="1"/>
  <c r="AD56" i="1"/>
  <c r="Z56" i="1"/>
  <c r="AB56" i="1"/>
  <c r="AE56" i="1"/>
  <c r="AM56" i="1"/>
  <c r="AA56" i="1"/>
  <c r="AC56" i="1"/>
  <c r="W56" i="1"/>
  <c r="S56" i="1"/>
  <c r="R56" i="1"/>
  <c r="Y56" i="1"/>
  <c r="U56" i="1"/>
  <c r="AV47" i="1"/>
  <c r="AR47" i="1"/>
  <c r="AT47" i="1"/>
  <c r="AS47" i="1"/>
  <c r="AU47" i="1"/>
  <c r="AQ47" i="1"/>
  <c r="AO47" i="1"/>
  <c r="AK47" i="1"/>
  <c r="AL47" i="1"/>
  <c r="AN47" i="1"/>
  <c r="AP47" i="1"/>
  <c r="AI47" i="1"/>
  <c r="AJ47" i="1"/>
  <c r="AF47" i="1"/>
  <c r="AG47" i="1"/>
  <c r="AD47" i="1"/>
  <c r="Z47" i="1"/>
  <c r="AM47" i="1"/>
  <c r="AH47" i="1"/>
  <c r="AB47" i="1"/>
  <c r="AC47" i="1"/>
  <c r="AA47" i="1"/>
  <c r="W47" i="1"/>
  <c r="S47" i="1"/>
  <c r="R47" i="1"/>
  <c r="AE47" i="1"/>
  <c r="Y47" i="1"/>
  <c r="U47" i="1"/>
  <c r="AV32" i="1"/>
  <c r="AR32" i="1"/>
  <c r="AT32" i="1"/>
  <c r="AS32" i="1"/>
  <c r="AU32" i="1"/>
  <c r="AQ32" i="1"/>
  <c r="AO32" i="1"/>
  <c r="AK32" i="1"/>
  <c r="AP32" i="1"/>
  <c r="AL32" i="1"/>
  <c r="AN32" i="1"/>
  <c r="AI32" i="1"/>
  <c r="AF32" i="1"/>
  <c r="AG32" i="1"/>
  <c r="AM32" i="1"/>
  <c r="AD32" i="1"/>
  <c r="Z32" i="1"/>
  <c r="AB32" i="1"/>
  <c r="AE32" i="1"/>
  <c r="W32" i="1"/>
  <c r="S32" i="1"/>
  <c r="R32" i="1"/>
  <c r="AC32" i="1"/>
  <c r="Y32" i="1"/>
  <c r="U32" i="1"/>
  <c r="AV10" i="1"/>
  <c r="AU10" i="1"/>
  <c r="AR10" i="1"/>
  <c r="AS10" i="1"/>
  <c r="AM10" i="1"/>
  <c r="AT10" i="1"/>
  <c r="AD10" i="1"/>
  <c r="Z10" i="1"/>
  <c r="AB10" i="1"/>
  <c r="AN10" i="1"/>
  <c r="AF10" i="1"/>
  <c r="Y10" i="1"/>
  <c r="U10" i="1"/>
  <c r="AG10" i="1"/>
  <c r="AV11" i="1"/>
  <c r="AS11" i="1"/>
  <c r="AU11" i="1"/>
  <c r="AQ11" i="1"/>
  <c r="AT11" i="1"/>
  <c r="AN11" i="1"/>
  <c r="AR11" i="1"/>
  <c r="AM11" i="1"/>
  <c r="AO11" i="1"/>
  <c r="AK11" i="1"/>
  <c r="AJ11" i="1"/>
  <c r="AD11" i="1"/>
  <c r="AL11" i="1"/>
  <c r="AE11" i="1"/>
  <c r="AH11" i="1"/>
  <c r="AF11" i="1"/>
  <c r="Z11" i="1"/>
  <c r="AB11" i="1"/>
  <c r="Y11" i="1"/>
  <c r="U11" i="1"/>
  <c r="AG11" i="1"/>
  <c r="AA11" i="1"/>
  <c r="X11" i="1"/>
  <c r="Q11" i="1"/>
  <c r="AV58" i="1"/>
  <c r="AR58" i="1"/>
  <c r="AT58" i="1"/>
  <c r="AS58" i="1"/>
  <c r="AU58" i="1"/>
  <c r="AP58" i="1"/>
  <c r="AJ58" i="1"/>
  <c r="AL58" i="1"/>
  <c r="AN58" i="1"/>
  <c r="AQ58" i="1"/>
  <c r="AM58" i="1"/>
  <c r="AK58" i="1"/>
  <c r="AI58" i="1"/>
  <c r="AG58" i="1"/>
  <c r="AC58" i="1"/>
  <c r="AO58" i="1"/>
  <c r="AH58" i="1"/>
  <c r="AD58" i="1"/>
  <c r="AB58" i="1"/>
  <c r="AE58" i="1"/>
  <c r="Z58" i="1"/>
  <c r="W58" i="1"/>
  <c r="S58" i="1"/>
  <c r="T58" i="1"/>
  <c r="P58" i="1"/>
  <c r="J92" i="1"/>
  <c r="J78" i="1"/>
  <c r="J72" i="1"/>
  <c r="J63" i="1"/>
  <c r="J54" i="1"/>
  <c r="K95" i="1"/>
  <c r="K84" i="1"/>
  <c r="K75" i="1"/>
  <c r="K60" i="1"/>
  <c r="K56" i="1"/>
  <c r="K47" i="1"/>
  <c r="K32" i="1"/>
  <c r="K25" i="1"/>
  <c r="K16" i="1"/>
  <c r="L100" i="1"/>
  <c r="L86" i="1"/>
  <c r="L80" i="1"/>
  <c r="L65" i="1"/>
  <c r="L61" i="1"/>
  <c r="L46" i="1"/>
  <c r="L42" i="1"/>
  <c r="L33" i="1"/>
  <c r="L21" i="1"/>
  <c r="L10" i="1"/>
  <c r="L7" i="1"/>
  <c r="M98" i="1"/>
  <c r="M87" i="1"/>
  <c r="M73" i="1"/>
  <c r="M66" i="1"/>
  <c r="M56" i="1"/>
  <c r="M37" i="1"/>
  <c r="M16" i="1"/>
  <c r="N77" i="1"/>
  <c r="N69" i="1"/>
  <c r="N56" i="1"/>
  <c r="N31" i="1"/>
  <c r="N16" i="1"/>
  <c r="O88" i="1"/>
  <c r="O75" i="1"/>
  <c r="O62" i="1"/>
  <c r="O44" i="1"/>
  <c r="O32" i="1"/>
  <c r="P94" i="1"/>
  <c r="P78" i="1"/>
  <c r="P65" i="1"/>
  <c r="P51" i="1"/>
  <c r="P33" i="1"/>
  <c r="P17" i="1"/>
  <c r="Q94" i="1"/>
  <c r="Q65" i="1"/>
  <c r="Q51" i="1"/>
  <c r="Q45" i="1"/>
  <c r="Q33" i="1"/>
  <c r="Q17" i="1"/>
  <c r="R87" i="1"/>
  <c r="R62" i="1"/>
  <c r="R49" i="1"/>
  <c r="R30" i="1"/>
  <c r="R22" i="1"/>
  <c r="R6" i="1"/>
  <c r="S90" i="1"/>
  <c r="S77" i="1"/>
  <c r="S66" i="1"/>
  <c r="S46" i="1"/>
  <c r="S35" i="1"/>
  <c r="S18" i="1"/>
  <c r="T100" i="1"/>
  <c r="T84" i="1"/>
  <c r="T69" i="1"/>
  <c r="T52" i="1"/>
  <c r="T38" i="1"/>
  <c r="U7" i="1"/>
  <c r="U82" i="1"/>
  <c r="U69" i="1"/>
  <c r="U55" i="1"/>
  <c r="U40" i="1"/>
  <c r="U26" i="1"/>
  <c r="U8" i="1"/>
  <c r="V82" i="1"/>
  <c r="V67" i="1"/>
  <c r="V56" i="1"/>
  <c r="V42" i="1"/>
  <c r="V24" i="1"/>
  <c r="V8" i="1"/>
  <c r="W87" i="1"/>
  <c r="W67" i="1"/>
  <c r="W51" i="1"/>
  <c r="W42" i="1"/>
  <c r="W26" i="1"/>
  <c r="W6" i="1"/>
  <c r="X90" i="1"/>
  <c r="X79" i="1"/>
  <c r="X47" i="1"/>
  <c r="X33" i="1"/>
  <c r="X15" i="1"/>
  <c r="Y92" i="1"/>
  <c r="Y71" i="1"/>
  <c r="Y54" i="1"/>
  <c r="Y24" i="1"/>
  <c r="Z90" i="1"/>
  <c r="Z65" i="1"/>
  <c r="AA90" i="1"/>
  <c r="AA62" i="1"/>
  <c r="AA24" i="1"/>
  <c r="AB87" i="1"/>
  <c r="AC86" i="1"/>
  <c r="AD53" i="1"/>
  <c r="AF40" i="1"/>
  <c r="AL67" i="1"/>
  <c r="AV21" i="1"/>
  <c r="AU21" i="1"/>
  <c r="AQ21" i="1"/>
  <c r="AR21" i="1"/>
  <c r="AS21" i="1"/>
  <c r="AT21" i="1"/>
  <c r="AL21" i="1"/>
  <c r="AM21" i="1"/>
  <c r="AI21" i="1"/>
  <c r="AP21" i="1"/>
  <c r="AJ21" i="1"/>
  <c r="AD21" i="1"/>
  <c r="Z21" i="1"/>
  <c r="AO21" i="1"/>
  <c r="AB21" i="1"/>
  <c r="AH21" i="1"/>
  <c r="AN21" i="1"/>
  <c r="AF21" i="1"/>
  <c r="AC21" i="1"/>
  <c r="AK21" i="1"/>
  <c r="Y21" i="1"/>
  <c r="U21" i="1"/>
  <c r="AA21" i="1"/>
  <c r="AV95" i="1"/>
  <c r="AT95" i="1"/>
  <c r="AS95" i="1"/>
  <c r="AU95" i="1"/>
  <c r="AQ95" i="1"/>
  <c r="AO95" i="1"/>
  <c r="AK95" i="1"/>
  <c r="AL95" i="1"/>
  <c r="AN95" i="1"/>
  <c r="AP95" i="1"/>
  <c r="AI95" i="1"/>
  <c r="AF95" i="1"/>
  <c r="AJ95" i="1"/>
  <c r="AG95" i="1"/>
  <c r="AR95" i="1"/>
  <c r="AH95" i="1"/>
  <c r="AD95" i="1"/>
  <c r="AA95" i="1"/>
  <c r="Z95" i="1"/>
  <c r="AM95" i="1"/>
  <c r="AE95" i="1"/>
  <c r="AB95" i="1"/>
  <c r="W95" i="1"/>
  <c r="S95" i="1"/>
  <c r="R95" i="1"/>
  <c r="Y95" i="1"/>
  <c r="U95" i="1"/>
  <c r="AV83" i="1"/>
  <c r="AR83" i="1"/>
  <c r="AT83" i="1"/>
  <c r="AS83" i="1"/>
  <c r="AU83" i="1"/>
  <c r="AP83" i="1"/>
  <c r="AJ83" i="1"/>
  <c r="AQ83" i="1"/>
  <c r="AL83" i="1"/>
  <c r="AN83" i="1"/>
  <c r="AM83" i="1"/>
  <c r="AG83" i="1"/>
  <c r="AC83" i="1"/>
  <c r="AH83" i="1"/>
  <c r="AD83" i="1"/>
  <c r="AK83" i="1"/>
  <c r="AB83" i="1"/>
  <c r="AE83" i="1"/>
  <c r="AO83" i="1"/>
  <c r="AA83" i="1"/>
  <c r="W83" i="1"/>
  <c r="AF83" i="1"/>
  <c r="T83" i="1"/>
  <c r="P83" i="1"/>
  <c r="AV74" i="1"/>
  <c r="AR74" i="1"/>
  <c r="AT74" i="1"/>
  <c r="AS74" i="1"/>
  <c r="AU74" i="1"/>
  <c r="AP74" i="1"/>
  <c r="AQ74" i="1"/>
  <c r="AJ74" i="1"/>
  <c r="AL74" i="1"/>
  <c r="AN74" i="1"/>
  <c r="AM74" i="1"/>
  <c r="AG74" i="1"/>
  <c r="AC74" i="1"/>
  <c r="AK74" i="1"/>
  <c r="AI74" i="1"/>
  <c r="AH74" i="1"/>
  <c r="AD74" i="1"/>
  <c r="AO74" i="1"/>
  <c r="AB74" i="1"/>
  <c r="AE74" i="1"/>
  <c r="AF74" i="1"/>
  <c r="W74" i="1"/>
  <c r="S74" i="1"/>
  <c r="AA74" i="1"/>
  <c r="T74" i="1"/>
  <c r="P74" i="1"/>
  <c r="AT63" i="1"/>
  <c r="AS63" i="1"/>
  <c r="AU63" i="1"/>
  <c r="AV63" i="1"/>
  <c r="AR63" i="1"/>
  <c r="AO63" i="1"/>
  <c r="AK63" i="1"/>
  <c r="AL63" i="1"/>
  <c r="AN63" i="1"/>
  <c r="AQ63" i="1"/>
  <c r="AM63" i="1"/>
  <c r="AI63" i="1"/>
  <c r="AJ63" i="1"/>
  <c r="AG63" i="1"/>
  <c r="AC63" i="1"/>
  <c r="AP63" i="1"/>
  <c r="AH63" i="1"/>
  <c r="AE63" i="1"/>
  <c r="AA63" i="1"/>
  <c r="AD63" i="1"/>
  <c r="AB63" i="1"/>
  <c r="T63" i="1"/>
  <c r="O63" i="1"/>
  <c r="N63" i="1"/>
  <c r="AF63" i="1"/>
  <c r="V63" i="1"/>
  <c r="AT54" i="1"/>
  <c r="AS54" i="1"/>
  <c r="AU54" i="1"/>
  <c r="AV54" i="1"/>
  <c r="AR54" i="1"/>
  <c r="AO54" i="1"/>
  <c r="AK54" i="1"/>
  <c r="AP54" i="1"/>
  <c r="AL54" i="1"/>
  <c r="AN54" i="1"/>
  <c r="AM54" i="1"/>
  <c r="AI54" i="1"/>
  <c r="AJ54" i="1"/>
  <c r="AQ54" i="1"/>
  <c r="AG54" i="1"/>
  <c r="AC54" i="1"/>
  <c r="AH54" i="1"/>
  <c r="AE54" i="1"/>
  <c r="AA54" i="1"/>
  <c r="AF54" i="1"/>
  <c r="Z54" i="1"/>
  <c r="T54" i="1"/>
  <c r="O54" i="1"/>
  <c r="N54" i="1"/>
  <c r="AD54" i="1"/>
  <c r="V54" i="1"/>
  <c r="M54" i="1"/>
  <c r="AV39" i="1"/>
  <c r="AT39" i="1"/>
  <c r="AS39" i="1"/>
  <c r="AU39" i="1"/>
  <c r="AR39" i="1"/>
  <c r="AO39" i="1"/>
  <c r="AK39" i="1"/>
  <c r="AL39" i="1"/>
  <c r="AN39" i="1"/>
  <c r="AM39" i="1"/>
  <c r="AI39" i="1"/>
  <c r="AJ39" i="1"/>
  <c r="AG39" i="1"/>
  <c r="AC39" i="1"/>
  <c r="AH39" i="1"/>
  <c r="AE39" i="1"/>
  <c r="AA39" i="1"/>
  <c r="AQ39" i="1"/>
  <c r="AB39" i="1"/>
  <c r="AD39" i="1"/>
  <c r="AP39" i="1"/>
  <c r="T39" i="1"/>
  <c r="Z39" i="1"/>
  <c r="O39" i="1"/>
  <c r="N39" i="1"/>
  <c r="AF39" i="1"/>
  <c r="V39" i="1"/>
  <c r="M39" i="1"/>
  <c r="AV35" i="1"/>
  <c r="AT35" i="1"/>
  <c r="AS35" i="1"/>
  <c r="AU35" i="1"/>
  <c r="AR35" i="1"/>
  <c r="AO35" i="1"/>
  <c r="AK35" i="1"/>
  <c r="AP35" i="1"/>
  <c r="AL35" i="1"/>
  <c r="AQ35" i="1"/>
  <c r="AN35" i="1"/>
  <c r="AM35" i="1"/>
  <c r="AI35" i="1"/>
  <c r="AJ35" i="1"/>
  <c r="AG35" i="1"/>
  <c r="AC35" i="1"/>
  <c r="AH35" i="1"/>
  <c r="AE35" i="1"/>
  <c r="AA35" i="1"/>
  <c r="T35" i="1"/>
  <c r="AF35" i="1"/>
  <c r="O35" i="1"/>
  <c r="N35" i="1"/>
  <c r="AD35" i="1"/>
  <c r="V35" i="1"/>
  <c r="M35" i="1"/>
  <c r="AV19" i="1"/>
  <c r="AP19" i="1"/>
  <c r="AQ19" i="1"/>
  <c r="AR19" i="1"/>
  <c r="AT19" i="1"/>
  <c r="AU19" i="1"/>
  <c r="AN19" i="1"/>
  <c r="AS19" i="1"/>
  <c r="AI19" i="1"/>
  <c r="AJ19" i="1"/>
  <c r="AO19" i="1"/>
  <c r="AK19" i="1"/>
  <c r="AL19" i="1"/>
  <c r="AM19" i="1"/>
  <c r="AB19" i="1"/>
  <c r="AE19" i="1"/>
  <c r="AH19" i="1"/>
  <c r="AF19" i="1"/>
  <c r="AG19" i="1"/>
  <c r="AC19" i="1"/>
  <c r="Y19" i="1"/>
  <c r="AD19" i="1"/>
  <c r="AA19" i="1"/>
  <c r="V19" i="1"/>
  <c r="M19" i="1"/>
  <c r="W19" i="1"/>
  <c r="S19" i="1"/>
  <c r="R19" i="1"/>
  <c r="AV23" i="1"/>
  <c r="AR23" i="1"/>
  <c r="AT23" i="1"/>
  <c r="AS23" i="1"/>
  <c r="AP23" i="1"/>
  <c r="AM23" i="1"/>
  <c r="AQ23" i="1"/>
  <c r="AJ23" i="1"/>
  <c r="AO23" i="1"/>
  <c r="AK23" i="1"/>
  <c r="AU23" i="1"/>
  <c r="AN23" i="1"/>
  <c r="AH23" i="1"/>
  <c r="AI23" i="1"/>
  <c r="AE23" i="1"/>
  <c r="AA23" i="1"/>
  <c r="AF23" i="1"/>
  <c r="AG23" i="1"/>
  <c r="AC23" i="1"/>
  <c r="AL23" i="1"/>
  <c r="Y23" i="1"/>
  <c r="AB23" i="1"/>
  <c r="Z23" i="1"/>
  <c r="V23" i="1"/>
  <c r="X23" i="1"/>
  <c r="Q23" i="1"/>
  <c r="AD23" i="1"/>
  <c r="T23" i="1"/>
  <c r="P23" i="1"/>
  <c r="J86" i="1"/>
  <c r="J80" i="1"/>
  <c r="J65" i="1"/>
  <c r="K78" i="1"/>
  <c r="K72" i="1"/>
  <c r="K63" i="1"/>
  <c r="K54" i="1"/>
  <c r="K39" i="1"/>
  <c r="K35" i="1"/>
  <c r="L87" i="1"/>
  <c r="L73" i="1"/>
  <c r="L68" i="1"/>
  <c r="L53" i="1"/>
  <c r="L49" i="1"/>
  <c r="L40" i="1"/>
  <c r="L23" i="1"/>
  <c r="L18" i="1"/>
  <c r="L6" i="1"/>
  <c r="M8" i="1"/>
  <c r="M95" i="1"/>
  <c r="M84" i="1"/>
  <c r="M75" i="1"/>
  <c r="M52" i="1"/>
  <c r="M40" i="1"/>
  <c r="M25" i="1"/>
  <c r="N91" i="1"/>
  <c r="N79" i="1"/>
  <c r="N60" i="1"/>
  <c r="N52" i="1"/>
  <c r="N41" i="1"/>
  <c r="N25" i="1"/>
  <c r="N11" i="1"/>
  <c r="O97" i="1"/>
  <c r="O67" i="1"/>
  <c r="O59" i="1"/>
  <c r="O47" i="1"/>
  <c r="O34" i="1"/>
  <c r="O19" i="1"/>
  <c r="P6" i="1"/>
  <c r="P92" i="1"/>
  <c r="P80" i="1"/>
  <c r="P66" i="1"/>
  <c r="P54" i="1"/>
  <c r="P42" i="1"/>
  <c r="P20" i="1"/>
  <c r="Q80" i="1"/>
  <c r="Q66" i="1"/>
  <c r="Q55" i="1"/>
  <c r="Q42" i="1"/>
  <c r="Q15" i="1"/>
  <c r="R98" i="1"/>
  <c r="R83" i="1"/>
  <c r="R67" i="1"/>
  <c r="R53" i="1"/>
  <c r="R45" i="1"/>
  <c r="R34" i="1"/>
  <c r="R18" i="1"/>
  <c r="R7" i="1"/>
  <c r="S91" i="1"/>
  <c r="S73" i="1"/>
  <c r="S48" i="1"/>
  <c r="S33" i="1"/>
  <c r="T94" i="1"/>
  <c r="T80" i="1"/>
  <c r="T60" i="1"/>
  <c r="T44" i="1"/>
  <c r="T17" i="1"/>
  <c r="U98" i="1"/>
  <c r="U78" i="1"/>
  <c r="U66" i="1"/>
  <c r="U44" i="1"/>
  <c r="U30" i="1"/>
  <c r="V100" i="1"/>
  <c r="V83" i="1"/>
  <c r="V66" i="1"/>
  <c r="V52" i="1"/>
  <c r="V32" i="1"/>
  <c r="V21" i="1"/>
  <c r="W100" i="1"/>
  <c r="W78" i="1"/>
  <c r="W68" i="1"/>
  <c r="W38" i="1"/>
  <c r="W21" i="1"/>
  <c r="X6" i="1"/>
  <c r="X86" i="1"/>
  <c r="X74" i="1"/>
  <c r="X59" i="1"/>
  <c r="X39" i="1"/>
  <c r="X25" i="1"/>
  <c r="X10" i="1"/>
  <c r="Y87" i="1"/>
  <c r="Y45" i="1"/>
  <c r="Y17" i="1"/>
  <c r="Z86" i="1"/>
  <c r="Z59" i="1"/>
  <c r="Z26" i="1"/>
  <c r="AA88" i="1"/>
  <c r="AA46" i="1"/>
  <c r="AA15" i="1"/>
  <c r="AB38" i="1"/>
  <c r="AC67" i="1"/>
  <c r="AE100" i="1"/>
  <c r="AG61" i="1"/>
  <c r="AV84" i="1"/>
  <c r="AT84" i="1"/>
  <c r="AS84" i="1"/>
  <c r="AU84" i="1"/>
  <c r="AQ84" i="1"/>
  <c r="AO84" i="1"/>
  <c r="AK84" i="1"/>
  <c r="AL84" i="1"/>
  <c r="AN84" i="1"/>
  <c r="AI84" i="1"/>
  <c r="AJ84" i="1"/>
  <c r="AF84" i="1"/>
  <c r="AG84" i="1"/>
  <c r="AR84" i="1"/>
  <c r="AP84" i="1"/>
  <c r="AH84" i="1"/>
  <c r="AD84" i="1"/>
  <c r="AM84" i="1"/>
  <c r="AE84" i="1"/>
  <c r="Z84" i="1"/>
  <c r="AA84" i="1"/>
  <c r="AC84" i="1"/>
  <c r="W84" i="1"/>
  <c r="S84" i="1"/>
  <c r="R84" i="1"/>
  <c r="Y84" i="1"/>
  <c r="U84" i="1"/>
  <c r="AR45" i="1"/>
  <c r="AV45" i="1"/>
  <c r="AT45" i="1"/>
  <c r="AS45" i="1"/>
  <c r="AU45" i="1"/>
  <c r="AP45" i="1"/>
  <c r="AJ45" i="1"/>
  <c r="AL45" i="1"/>
  <c r="AN45" i="1"/>
  <c r="AM45" i="1"/>
  <c r="AQ45" i="1"/>
  <c r="AG45" i="1"/>
  <c r="AC45" i="1"/>
  <c r="AI45" i="1"/>
  <c r="AD45" i="1"/>
  <c r="AK45" i="1"/>
  <c r="AH45" i="1"/>
  <c r="AB45" i="1"/>
  <c r="AE45" i="1"/>
  <c r="AF45" i="1"/>
  <c r="AA45" i="1"/>
  <c r="W45" i="1"/>
  <c r="S45" i="1"/>
  <c r="T45" i="1"/>
  <c r="P45" i="1"/>
  <c r="W22" i="1"/>
  <c r="X45" i="1"/>
  <c r="AA86" i="1"/>
  <c r="AB84" i="1"/>
  <c r="AD31" i="1"/>
  <c r="AV90" i="1"/>
  <c r="AR90" i="1"/>
  <c r="AT90" i="1"/>
  <c r="AS90" i="1"/>
  <c r="AU90" i="1"/>
  <c r="AP90" i="1"/>
  <c r="AJ90" i="1"/>
  <c r="AL90" i="1"/>
  <c r="AN90" i="1"/>
  <c r="AM90" i="1"/>
  <c r="AO90" i="1"/>
  <c r="AG90" i="1"/>
  <c r="AC90" i="1"/>
  <c r="AQ90" i="1"/>
  <c r="AI90" i="1"/>
  <c r="AH90" i="1"/>
  <c r="AD90" i="1"/>
  <c r="AB90" i="1"/>
  <c r="AE90" i="1"/>
  <c r="W90" i="1"/>
  <c r="AK90" i="1"/>
  <c r="T90" i="1"/>
  <c r="P90" i="1"/>
  <c r="AF90" i="1"/>
  <c r="AT78" i="1"/>
  <c r="AS78" i="1"/>
  <c r="AU78" i="1"/>
  <c r="AV78" i="1"/>
  <c r="AR78" i="1"/>
  <c r="AP78" i="1"/>
  <c r="AO78" i="1"/>
  <c r="AK78" i="1"/>
  <c r="AQ78" i="1"/>
  <c r="AL78" i="1"/>
  <c r="AN78" i="1"/>
  <c r="AM78" i="1"/>
  <c r="AI78" i="1"/>
  <c r="AJ78" i="1"/>
  <c r="AG78" i="1"/>
  <c r="AC78" i="1"/>
  <c r="AH78" i="1"/>
  <c r="AE78" i="1"/>
  <c r="AA78" i="1"/>
  <c r="AF78" i="1"/>
  <c r="T78" i="1"/>
  <c r="O78" i="1"/>
  <c r="N78" i="1"/>
  <c r="Z78" i="1"/>
  <c r="V78" i="1"/>
  <c r="AT72" i="1"/>
  <c r="AS72" i="1"/>
  <c r="AU72" i="1"/>
  <c r="AV72" i="1"/>
  <c r="AR72" i="1"/>
  <c r="AO72" i="1"/>
  <c r="AK72" i="1"/>
  <c r="AP72" i="1"/>
  <c r="AL72" i="1"/>
  <c r="AN72" i="1"/>
  <c r="AM72" i="1"/>
  <c r="AI72" i="1"/>
  <c r="AQ72" i="1"/>
  <c r="AJ72" i="1"/>
  <c r="AG72" i="1"/>
  <c r="AC72" i="1"/>
  <c r="AH72" i="1"/>
  <c r="AE72" i="1"/>
  <c r="AA72" i="1"/>
  <c r="AF72" i="1"/>
  <c r="AD72" i="1"/>
  <c r="T72" i="1"/>
  <c r="O72" i="1"/>
  <c r="N72" i="1"/>
  <c r="AB72" i="1"/>
  <c r="Z72" i="1"/>
  <c r="V72" i="1"/>
  <c r="AS62" i="1"/>
  <c r="AU62" i="1"/>
  <c r="AP62" i="1"/>
  <c r="AQ62" i="1"/>
  <c r="AT62" i="1"/>
  <c r="AR62" i="1"/>
  <c r="AN62" i="1"/>
  <c r="AM62" i="1"/>
  <c r="AO62" i="1"/>
  <c r="AK62" i="1"/>
  <c r="AV62" i="1"/>
  <c r="AH62" i="1"/>
  <c r="AD62" i="1"/>
  <c r="AJ62" i="1"/>
  <c r="AE62" i="1"/>
  <c r="AL62" i="1"/>
  <c r="AF62" i="1"/>
  <c r="Y62" i="1"/>
  <c r="U62" i="1"/>
  <c r="AI62" i="1"/>
  <c r="AG62" i="1"/>
  <c r="Z62" i="1"/>
  <c r="X62" i="1"/>
  <c r="Q62" i="1"/>
  <c r="AS52" i="1"/>
  <c r="AU52" i="1"/>
  <c r="AP52" i="1"/>
  <c r="AQ52" i="1"/>
  <c r="AT52" i="1"/>
  <c r="AV52" i="1"/>
  <c r="AN52" i="1"/>
  <c r="AM52" i="1"/>
  <c r="AI52" i="1"/>
  <c r="AR52" i="1"/>
  <c r="AO52" i="1"/>
  <c r="AK52" i="1"/>
  <c r="AJ52" i="1"/>
  <c r="AH52" i="1"/>
  <c r="AD52" i="1"/>
  <c r="AL52" i="1"/>
  <c r="AE52" i="1"/>
  <c r="AF52" i="1"/>
  <c r="Z52" i="1"/>
  <c r="AC52" i="1"/>
  <c r="AB52" i="1"/>
  <c r="Y52" i="1"/>
  <c r="U52" i="1"/>
  <c r="AG52" i="1"/>
  <c r="AA52" i="1"/>
  <c r="X52" i="1"/>
  <c r="Q52" i="1"/>
  <c r="AV37" i="1"/>
  <c r="AS37" i="1"/>
  <c r="AU37" i="1"/>
  <c r="AP37" i="1"/>
  <c r="AQ37" i="1"/>
  <c r="AT37" i="1"/>
  <c r="AN37" i="1"/>
  <c r="AM37" i="1"/>
  <c r="AI37" i="1"/>
  <c r="AO37" i="1"/>
  <c r="AK37" i="1"/>
  <c r="AL37" i="1"/>
  <c r="AR37" i="1"/>
  <c r="AD37" i="1"/>
  <c r="AH37" i="1"/>
  <c r="AE37" i="1"/>
  <c r="AF37" i="1"/>
  <c r="AA37" i="1"/>
  <c r="AG37" i="1"/>
  <c r="Z37" i="1"/>
  <c r="Y37" i="1"/>
  <c r="U37" i="1"/>
  <c r="AJ37" i="1"/>
  <c r="AC37" i="1"/>
  <c r="X37" i="1"/>
  <c r="Q37" i="1"/>
  <c r="AV34" i="1"/>
  <c r="AS34" i="1"/>
  <c r="AU34" i="1"/>
  <c r="AP34" i="1"/>
  <c r="AQ34" i="1"/>
  <c r="AT34" i="1"/>
  <c r="AN34" i="1"/>
  <c r="AM34" i="1"/>
  <c r="AI34" i="1"/>
  <c r="AR34" i="1"/>
  <c r="AO34" i="1"/>
  <c r="AK34" i="1"/>
  <c r="AD34" i="1"/>
  <c r="AH34" i="1"/>
  <c r="AE34" i="1"/>
  <c r="AJ34" i="1"/>
  <c r="AF34" i="1"/>
  <c r="AG34" i="1"/>
  <c r="AA34" i="1"/>
  <c r="AL34" i="1"/>
  <c r="AC34" i="1"/>
  <c r="AB34" i="1"/>
  <c r="Y34" i="1"/>
  <c r="U34" i="1"/>
  <c r="X34" i="1"/>
  <c r="Q34" i="1"/>
  <c r="AV18" i="1"/>
  <c r="AR18" i="1"/>
  <c r="AT18" i="1"/>
  <c r="AS18" i="1"/>
  <c r="AP18" i="1"/>
  <c r="AM18" i="1"/>
  <c r="AJ18" i="1"/>
  <c r="AO18" i="1"/>
  <c r="AK18" i="1"/>
  <c r="AQ18" i="1"/>
  <c r="AN18" i="1"/>
  <c r="AH18" i="1"/>
  <c r="AE18" i="1"/>
  <c r="AA18" i="1"/>
  <c r="AU18" i="1"/>
  <c r="AF18" i="1"/>
  <c r="AL18" i="1"/>
  <c r="AG18" i="1"/>
  <c r="AC18" i="1"/>
  <c r="Y18" i="1"/>
  <c r="AI18" i="1"/>
  <c r="AD18" i="1"/>
  <c r="V18" i="1"/>
  <c r="X18" i="1"/>
  <c r="Q18" i="1"/>
  <c r="AB18" i="1"/>
  <c r="T18" i="1"/>
  <c r="P18" i="1"/>
  <c r="AQ20" i="1"/>
  <c r="AR20" i="1"/>
  <c r="AT20" i="1"/>
  <c r="AS20" i="1"/>
  <c r="AU20" i="1"/>
  <c r="AP20" i="1"/>
  <c r="AI20" i="1"/>
  <c r="AJ20" i="1"/>
  <c r="AO20" i="1"/>
  <c r="AK20" i="1"/>
  <c r="AL20" i="1"/>
  <c r="AV20" i="1"/>
  <c r="AM20" i="1"/>
  <c r="AH20" i="1"/>
  <c r="AF20" i="1"/>
  <c r="AG20" i="1"/>
  <c r="AC20" i="1"/>
  <c r="AN20" i="1"/>
  <c r="AD20" i="1"/>
  <c r="AE20" i="1"/>
  <c r="AB20" i="1"/>
  <c r="Z20" i="1"/>
  <c r="X20" i="1"/>
  <c r="O20" i="1"/>
  <c r="N20" i="1"/>
  <c r="J97" i="1"/>
  <c r="J96" i="1" s="1"/>
  <c r="J88" i="1"/>
  <c r="J79" i="1"/>
  <c r="J69" i="1"/>
  <c r="J59" i="1"/>
  <c r="J44" i="1"/>
  <c r="K77" i="1"/>
  <c r="K62" i="1"/>
  <c r="K52" i="1"/>
  <c r="K37" i="1"/>
  <c r="K34" i="1"/>
  <c r="L94" i="1"/>
  <c r="L51" i="1"/>
  <c r="L48" i="1"/>
  <c r="L38" i="1"/>
  <c r="L20" i="1"/>
  <c r="L17" i="1"/>
  <c r="L8" i="1"/>
  <c r="M90" i="1"/>
  <c r="M83" i="1"/>
  <c r="M74" i="1"/>
  <c r="M63" i="1"/>
  <c r="M46" i="1"/>
  <c r="M38" i="1"/>
  <c r="M24" i="1"/>
  <c r="N86" i="1"/>
  <c r="N73" i="1"/>
  <c r="N46" i="1"/>
  <c r="N40" i="1"/>
  <c r="N24" i="1"/>
  <c r="N10" i="1"/>
  <c r="O98" i="1"/>
  <c r="O83" i="1"/>
  <c r="O65" i="1"/>
  <c r="O53" i="1"/>
  <c r="O45" i="1"/>
  <c r="O33" i="1"/>
  <c r="O18" i="1"/>
  <c r="P91" i="1"/>
  <c r="P79" i="1"/>
  <c r="P60" i="1"/>
  <c r="P52" i="1"/>
  <c r="P41" i="1"/>
  <c r="P25" i="1"/>
  <c r="P11" i="1"/>
  <c r="Q79" i="1"/>
  <c r="Q60" i="1"/>
  <c r="Q54" i="1"/>
  <c r="Q41" i="1"/>
  <c r="R94" i="1"/>
  <c r="R78" i="1"/>
  <c r="R65" i="1"/>
  <c r="R51" i="1"/>
  <c r="R39" i="1"/>
  <c r="R33" i="1"/>
  <c r="R17" i="1"/>
  <c r="S7" i="1"/>
  <c r="S86" i="1"/>
  <c r="S71" i="1"/>
  <c r="S39" i="1"/>
  <c r="S23" i="1"/>
  <c r="S11" i="1"/>
  <c r="T95" i="1"/>
  <c r="T79" i="1"/>
  <c r="T62" i="1"/>
  <c r="T48" i="1"/>
  <c r="T16" i="1"/>
  <c r="U94" i="1"/>
  <c r="U58" i="1"/>
  <c r="U49" i="1"/>
  <c r="U35" i="1"/>
  <c r="U17" i="1"/>
  <c r="V94" i="1"/>
  <c r="V77" i="1"/>
  <c r="V60" i="1"/>
  <c r="V46" i="1"/>
  <c r="V30" i="1"/>
  <c r="W98" i="1"/>
  <c r="W66" i="1"/>
  <c r="W35" i="1"/>
  <c r="W18" i="1"/>
  <c r="X8" i="1"/>
  <c r="X88" i="1"/>
  <c r="X72" i="1"/>
  <c r="X56" i="1"/>
  <c r="X24" i="1"/>
  <c r="Y82" i="1"/>
  <c r="Y66" i="1"/>
  <c r="Y39" i="1"/>
  <c r="Y15" i="1"/>
  <c r="Z83" i="1"/>
  <c r="Z53" i="1"/>
  <c r="Z19" i="1"/>
  <c r="AA80" i="1"/>
  <c r="AA44" i="1"/>
  <c r="AB75" i="1"/>
  <c r="AB35" i="1"/>
  <c r="AC60" i="1"/>
  <c r="AG21" i="1"/>
  <c r="AV75" i="1"/>
  <c r="AT75" i="1"/>
  <c r="AS75" i="1"/>
  <c r="AU75" i="1"/>
  <c r="AQ75" i="1"/>
  <c r="AO75" i="1"/>
  <c r="AK75" i="1"/>
  <c r="AR75" i="1"/>
  <c r="AP75" i="1"/>
  <c r="AL75" i="1"/>
  <c r="AN75" i="1"/>
  <c r="AI75" i="1"/>
  <c r="AF75" i="1"/>
  <c r="AG75" i="1"/>
  <c r="AM75" i="1"/>
  <c r="AH75" i="1"/>
  <c r="AD75" i="1"/>
  <c r="AJ75" i="1"/>
  <c r="AC75" i="1"/>
  <c r="Z75" i="1"/>
  <c r="W75" i="1"/>
  <c r="S75" i="1"/>
  <c r="R75" i="1"/>
  <c r="Y75" i="1"/>
  <c r="U75" i="1"/>
  <c r="AV55" i="1"/>
  <c r="AR55" i="1"/>
  <c r="AT55" i="1"/>
  <c r="AS55" i="1"/>
  <c r="AU55" i="1"/>
  <c r="AP55" i="1"/>
  <c r="AJ55" i="1"/>
  <c r="AQ55" i="1"/>
  <c r="AL55" i="1"/>
  <c r="AN55" i="1"/>
  <c r="AM55" i="1"/>
  <c r="AO55" i="1"/>
  <c r="AG55" i="1"/>
  <c r="AC55" i="1"/>
  <c r="AH55" i="1"/>
  <c r="AD55" i="1"/>
  <c r="AB55" i="1"/>
  <c r="AI55" i="1"/>
  <c r="AE55" i="1"/>
  <c r="AK55" i="1"/>
  <c r="AF55" i="1"/>
  <c r="Z55" i="1"/>
  <c r="W55" i="1"/>
  <c r="S55" i="1"/>
  <c r="T55" i="1"/>
  <c r="P55" i="1"/>
  <c r="AV22" i="1"/>
  <c r="AS22" i="1"/>
  <c r="AU22" i="1"/>
  <c r="AT22" i="1"/>
  <c r="AN22" i="1"/>
  <c r="AM22" i="1"/>
  <c r="AR22" i="1"/>
  <c r="AD22" i="1"/>
  <c r="AF22" i="1"/>
  <c r="Y22" i="1"/>
  <c r="U22" i="1"/>
  <c r="AG22" i="1"/>
  <c r="Z22" i="1"/>
  <c r="X22" i="1"/>
  <c r="K30" i="1"/>
  <c r="M55" i="1"/>
  <c r="O30" i="1"/>
  <c r="R21" i="1"/>
  <c r="V22" i="1"/>
  <c r="X75" i="1"/>
  <c r="AA55" i="1"/>
  <c r="AT92" i="1"/>
  <c r="AS92" i="1"/>
  <c r="AU92" i="1"/>
  <c r="AV92" i="1"/>
  <c r="AR92" i="1"/>
  <c r="AO92" i="1"/>
  <c r="AK92" i="1"/>
  <c r="AL92" i="1"/>
  <c r="AN92" i="1"/>
  <c r="AM92" i="1"/>
  <c r="AQ92" i="1"/>
  <c r="AJ92" i="1"/>
  <c r="AG92" i="1"/>
  <c r="AC92" i="1"/>
  <c r="AI92" i="1"/>
  <c r="AH92" i="1"/>
  <c r="AE92" i="1"/>
  <c r="AA92" i="1"/>
  <c r="AP92" i="1"/>
  <c r="AD92" i="1"/>
  <c r="AB92" i="1"/>
  <c r="T92" i="1"/>
  <c r="O92" i="1"/>
  <c r="N92" i="1"/>
  <c r="Z92" i="1"/>
  <c r="V92" i="1"/>
  <c r="AS77" i="1"/>
  <c r="AU77" i="1"/>
  <c r="AQ77" i="1"/>
  <c r="AT77" i="1"/>
  <c r="AN77" i="1"/>
  <c r="AM77" i="1"/>
  <c r="AR77" i="1"/>
  <c r="AP77" i="1"/>
  <c r="AO77" i="1"/>
  <c r="AK77" i="1"/>
  <c r="AL77" i="1"/>
  <c r="AH77" i="1"/>
  <c r="AD77" i="1"/>
  <c r="AE77" i="1"/>
  <c r="AI77" i="1"/>
  <c r="AF77" i="1"/>
  <c r="AJ77" i="1"/>
  <c r="AA77" i="1"/>
  <c r="AG77" i="1"/>
  <c r="AC77" i="1"/>
  <c r="AB77" i="1"/>
  <c r="Y77" i="1"/>
  <c r="U77" i="1"/>
  <c r="X77" i="1"/>
  <c r="Q77" i="1"/>
  <c r="AS67" i="1"/>
  <c r="AU67" i="1"/>
  <c r="AP67" i="1"/>
  <c r="AQ67" i="1"/>
  <c r="AT67" i="1"/>
  <c r="AV67" i="1"/>
  <c r="AR67" i="1"/>
  <c r="AN67" i="1"/>
  <c r="AM67" i="1"/>
  <c r="AO67" i="1"/>
  <c r="AK67" i="1"/>
  <c r="AH67" i="1"/>
  <c r="AD67" i="1"/>
  <c r="AI67" i="1"/>
  <c r="AE67" i="1"/>
  <c r="AJ67" i="1"/>
  <c r="AF67" i="1"/>
  <c r="AG67" i="1"/>
  <c r="AA67" i="1"/>
  <c r="Y67" i="1"/>
  <c r="U67" i="1"/>
  <c r="X67" i="1"/>
  <c r="Q67" i="1"/>
  <c r="AU61" i="1"/>
  <c r="AQ61" i="1"/>
  <c r="AV61" i="1"/>
  <c r="AR61" i="1"/>
  <c r="AS61" i="1"/>
  <c r="AL61" i="1"/>
  <c r="AM61" i="1"/>
  <c r="AI61" i="1"/>
  <c r="AT61" i="1"/>
  <c r="AP61" i="1"/>
  <c r="AJ61" i="1"/>
  <c r="AH61" i="1"/>
  <c r="AD61" i="1"/>
  <c r="Z61" i="1"/>
  <c r="AO61" i="1"/>
  <c r="AB61" i="1"/>
  <c r="AN61" i="1"/>
  <c r="AF61" i="1"/>
  <c r="AE61" i="1"/>
  <c r="AK61" i="1"/>
  <c r="Y61" i="1"/>
  <c r="U61" i="1"/>
  <c r="AC61" i="1"/>
  <c r="AA61" i="1"/>
  <c r="AU46" i="1"/>
  <c r="AQ46" i="1"/>
  <c r="AV46" i="1"/>
  <c r="AR46" i="1"/>
  <c r="AS46" i="1"/>
  <c r="AL46" i="1"/>
  <c r="AM46" i="1"/>
  <c r="AT46" i="1"/>
  <c r="AI46" i="1"/>
  <c r="AJ46" i="1"/>
  <c r="AP46" i="1"/>
  <c r="AH46" i="1"/>
  <c r="AD46" i="1"/>
  <c r="Z46" i="1"/>
  <c r="AB46" i="1"/>
  <c r="AN46" i="1"/>
  <c r="AF46" i="1"/>
  <c r="AK46" i="1"/>
  <c r="AC46" i="1"/>
  <c r="Y46" i="1"/>
  <c r="U46" i="1"/>
  <c r="AG46" i="1"/>
  <c r="AO46" i="1"/>
  <c r="AE46" i="1"/>
  <c r="AV42" i="1"/>
  <c r="AU42" i="1"/>
  <c r="AQ42" i="1"/>
  <c r="AR42" i="1"/>
  <c r="AS42" i="1"/>
  <c r="AL42" i="1"/>
  <c r="AT42" i="1"/>
  <c r="AM42" i="1"/>
  <c r="AI42" i="1"/>
  <c r="AP42" i="1"/>
  <c r="AJ42" i="1"/>
  <c r="AN42" i="1"/>
  <c r="AD42" i="1"/>
  <c r="Z42" i="1"/>
  <c r="AH42" i="1"/>
  <c r="AB42" i="1"/>
  <c r="AK42" i="1"/>
  <c r="AF42" i="1"/>
  <c r="AO42" i="1"/>
  <c r="AG42" i="1"/>
  <c r="Y42" i="1"/>
  <c r="U42" i="1"/>
  <c r="AE42" i="1"/>
  <c r="AV33" i="1"/>
  <c r="AU33" i="1"/>
  <c r="AQ33" i="1"/>
  <c r="AR33" i="1"/>
  <c r="AS33" i="1"/>
  <c r="AL33" i="1"/>
  <c r="AM33" i="1"/>
  <c r="AI33" i="1"/>
  <c r="AJ33" i="1"/>
  <c r="AD33" i="1"/>
  <c r="Z33" i="1"/>
  <c r="AK33" i="1"/>
  <c r="AB33" i="1"/>
  <c r="AH33" i="1"/>
  <c r="AO33" i="1"/>
  <c r="AT33" i="1"/>
  <c r="AF33" i="1"/>
  <c r="AG33" i="1"/>
  <c r="AE33" i="1"/>
  <c r="AN33" i="1"/>
  <c r="AA33" i="1"/>
  <c r="AC33" i="1"/>
  <c r="Y33" i="1"/>
  <c r="U33" i="1"/>
  <c r="AS7" i="1"/>
  <c r="AT7" i="1"/>
  <c r="AU7" i="1"/>
  <c r="AV7" i="1"/>
  <c r="AR7" i="1"/>
  <c r="AQ7" i="1"/>
  <c r="AO7" i="1"/>
  <c r="AK7" i="1"/>
  <c r="AL7" i="1"/>
  <c r="AP7" i="1"/>
  <c r="AM7" i="1"/>
  <c r="AJ7" i="1"/>
  <c r="AG7" i="1"/>
  <c r="AC7" i="1"/>
  <c r="AI7" i="1"/>
  <c r="AH7" i="1"/>
  <c r="AE7" i="1"/>
  <c r="AA7" i="1"/>
  <c r="AN7" i="1"/>
  <c r="AF7" i="1"/>
  <c r="AB7" i="1"/>
  <c r="X7" i="1"/>
  <c r="T7" i="1"/>
  <c r="AD7" i="1"/>
  <c r="W7" i="1"/>
  <c r="O7" i="1"/>
  <c r="N7" i="1"/>
  <c r="Z7" i="1"/>
  <c r="V7" i="1"/>
  <c r="P7" i="1"/>
  <c r="AQ17" i="1"/>
  <c r="AR17" i="1"/>
  <c r="AT17" i="1"/>
  <c r="AV17" i="1"/>
  <c r="AS17" i="1"/>
  <c r="AU17" i="1"/>
  <c r="AI17" i="1"/>
  <c r="AJ17" i="1"/>
  <c r="AO17" i="1"/>
  <c r="AK17" i="1"/>
  <c r="AP17" i="1"/>
  <c r="AL17" i="1"/>
  <c r="AM17" i="1"/>
  <c r="AH17" i="1"/>
  <c r="AF17" i="1"/>
  <c r="AN17" i="1"/>
  <c r="AG17" i="1"/>
  <c r="AC17" i="1"/>
  <c r="AD17" i="1"/>
  <c r="AA17" i="1"/>
  <c r="X17" i="1"/>
  <c r="Z17" i="1"/>
  <c r="AE17" i="1"/>
  <c r="O17" i="1"/>
  <c r="N17" i="1"/>
  <c r="AV25" i="1"/>
  <c r="AR25" i="1"/>
  <c r="AT25" i="1"/>
  <c r="AS25" i="1"/>
  <c r="AU25" i="1"/>
  <c r="AQ25" i="1"/>
  <c r="AO25" i="1"/>
  <c r="AK25" i="1"/>
  <c r="AL25" i="1"/>
  <c r="AN25" i="1"/>
  <c r="AP25" i="1"/>
  <c r="AI25" i="1"/>
  <c r="AF25" i="1"/>
  <c r="AM25" i="1"/>
  <c r="AG25" i="1"/>
  <c r="AJ25" i="1"/>
  <c r="AD25" i="1"/>
  <c r="Z25" i="1"/>
  <c r="AB25" i="1"/>
  <c r="AC25" i="1"/>
  <c r="W25" i="1"/>
  <c r="S25" i="1"/>
  <c r="R25" i="1"/>
  <c r="AH25" i="1"/>
  <c r="AE25" i="1"/>
  <c r="AA25" i="1"/>
  <c r="Y25" i="1"/>
  <c r="U25" i="1"/>
  <c r="J87" i="1"/>
  <c r="J73" i="1"/>
  <c r="J53" i="1"/>
  <c r="J49" i="1"/>
  <c r="K100" i="1"/>
  <c r="K86" i="1"/>
  <c r="K80" i="1"/>
  <c r="K65" i="1"/>
  <c r="K61" i="1"/>
  <c r="K46" i="1"/>
  <c r="K42" i="1"/>
  <c r="K33" i="1"/>
  <c r="K21" i="1"/>
  <c r="L95" i="1"/>
  <c r="L84" i="1"/>
  <c r="L75" i="1"/>
  <c r="L60" i="1"/>
  <c r="L56" i="1"/>
  <c r="L47" i="1"/>
  <c r="L32" i="1"/>
  <c r="L25" i="1"/>
  <c r="L16" i="1"/>
  <c r="M92" i="1"/>
  <c r="M78" i="1"/>
  <c r="M72" i="1"/>
  <c r="M62" i="1"/>
  <c r="M49" i="1"/>
  <c r="M32" i="1"/>
  <c r="N88" i="1"/>
  <c r="N75" i="1"/>
  <c r="N62" i="1"/>
  <c r="N44" i="1"/>
  <c r="N32" i="1"/>
  <c r="N22" i="1"/>
  <c r="O95" i="1"/>
  <c r="O77" i="1"/>
  <c r="O69" i="1"/>
  <c r="O56" i="1"/>
  <c r="O37" i="1"/>
  <c r="O16" i="1"/>
  <c r="P86" i="1"/>
  <c r="P71" i="1"/>
  <c r="P63" i="1"/>
  <c r="P46" i="1"/>
  <c r="P38" i="1"/>
  <c r="P26" i="1"/>
  <c r="P10" i="1"/>
  <c r="Q86" i="1"/>
  <c r="Q71" i="1"/>
  <c r="Q58" i="1"/>
  <c r="Q46" i="1"/>
  <c r="Q38" i="1"/>
  <c r="Q24" i="1"/>
  <c r="R90" i="1"/>
  <c r="R77" i="1"/>
  <c r="R68" i="1"/>
  <c r="R55" i="1"/>
  <c r="R37" i="1"/>
  <c r="R23" i="1"/>
  <c r="R15" i="1"/>
  <c r="S87" i="1"/>
  <c r="S72" i="1"/>
  <c r="S37" i="1"/>
  <c r="S20" i="1"/>
  <c r="S10" i="1"/>
  <c r="T91" i="1"/>
  <c r="T71" i="1"/>
  <c r="T61" i="1"/>
  <c r="T47" i="1"/>
  <c r="T31" i="1"/>
  <c r="T11" i="1"/>
  <c r="U90" i="1"/>
  <c r="U73" i="1"/>
  <c r="U63" i="1"/>
  <c r="U48" i="1"/>
  <c r="U15" i="1"/>
  <c r="V95" i="1"/>
  <c r="V80" i="1"/>
  <c r="V58" i="1"/>
  <c r="V48" i="1"/>
  <c r="V34" i="1"/>
  <c r="V16" i="1"/>
  <c r="W94" i="1"/>
  <c r="W80" i="1"/>
  <c r="W63" i="1"/>
  <c r="W34" i="1"/>
  <c r="W17" i="1"/>
  <c r="X84" i="1"/>
  <c r="X65" i="1"/>
  <c r="X55" i="1"/>
  <c r="X26" i="1"/>
  <c r="Y97" i="1"/>
  <c r="Y83" i="1"/>
  <c r="Y58" i="1"/>
  <c r="Y38" i="1"/>
  <c r="Z77" i="1"/>
  <c r="Z44" i="1"/>
  <c r="Z18" i="1"/>
  <c r="AA71" i="1"/>
  <c r="AA42" i="1"/>
  <c r="AB67" i="1"/>
  <c r="AB22" i="1"/>
  <c r="AC62" i="1"/>
  <c r="AE48" i="1"/>
  <c r="AH73" i="1"/>
  <c r="N30" i="1"/>
  <c r="N21" i="1"/>
  <c r="N6" i="1"/>
  <c r="O90" i="1"/>
  <c r="O80" i="1"/>
  <c r="O68" i="1"/>
  <c r="O55" i="1"/>
  <c r="O42" i="1"/>
  <c r="O23" i="1"/>
  <c r="O15" i="1"/>
  <c r="P88" i="1"/>
  <c r="P75" i="1"/>
  <c r="P62" i="1"/>
  <c r="P44" i="1"/>
  <c r="P32" i="1"/>
  <c r="P22" i="1"/>
  <c r="Q75" i="1"/>
  <c r="Q63" i="1"/>
  <c r="Q44" i="1"/>
  <c r="Q32" i="1"/>
  <c r="Q26" i="1"/>
  <c r="R92" i="1"/>
  <c r="R80" i="1"/>
  <c r="R66" i="1"/>
  <c r="R54" i="1"/>
  <c r="R42" i="1"/>
  <c r="R20" i="1"/>
  <c r="S100" i="1"/>
  <c r="S82" i="1"/>
  <c r="S67" i="1"/>
  <c r="S51" i="1"/>
  <c r="S42" i="1"/>
  <c r="T75" i="1"/>
  <c r="T59" i="1"/>
  <c r="T37" i="1"/>
  <c r="T20" i="1"/>
  <c r="T10" i="1"/>
  <c r="U92" i="1"/>
  <c r="U71" i="1"/>
  <c r="U59" i="1"/>
  <c r="U45" i="1"/>
  <c r="U23" i="1"/>
  <c r="V90" i="1"/>
  <c r="V71" i="1"/>
  <c r="V62" i="1"/>
  <c r="V47" i="1"/>
  <c r="V33" i="1"/>
  <c r="W92" i="1"/>
  <c r="W73" i="1"/>
  <c r="W62" i="1"/>
  <c r="W48" i="1"/>
  <c r="W33" i="1"/>
  <c r="X83" i="1"/>
  <c r="X54" i="1"/>
  <c r="X32" i="1"/>
  <c r="X21" i="1"/>
  <c r="Y98" i="1"/>
  <c r="Y78" i="1"/>
  <c r="Y63" i="1"/>
  <c r="Y30" i="1"/>
  <c r="Y8" i="1"/>
  <c r="Z80" i="1"/>
  <c r="Z48" i="1"/>
  <c r="AA75" i="1"/>
  <c r="AB17" i="1"/>
  <c r="AC42" i="1"/>
  <c r="AE21" i="1"/>
  <c r="AH32" i="1"/>
  <c r="M60" i="1"/>
  <c r="O21" i="1"/>
  <c r="V55" i="1"/>
  <c r="AU86" i="1"/>
  <c r="AQ86" i="1"/>
  <c r="AV86" i="1"/>
  <c r="AS86" i="1"/>
  <c r="AL86" i="1"/>
  <c r="AM86" i="1"/>
  <c r="AI86" i="1"/>
  <c r="AP86" i="1"/>
  <c r="AJ86" i="1"/>
  <c r="AT86" i="1"/>
  <c r="AR86" i="1"/>
  <c r="AH86" i="1"/>
  <c r="AD86" i="1"/>
  <c r="AN86" i="1"/>
  <c r="AF86" i="1"/>
  <c r="AK86" i="1"/>
  <c r="AO86" i="1"/>
  <c r="AB86" i="1"/>
  <c r="AE86" i="1"/>
  <c r="Y86" i="1"/>
  <c r="U86" i="1"/>
  <c r="AG86" i="1"/>
  <c r="AU65" i="1"/>
  <c r="AQ65" i="1"/>
  <c r="AV65" i="1"/>
  <c r="AS65" i="1"/>
  <c r="AL65" i="1"/>
  <c r="AM65" i="1"/>
  <c r="AI65" i="1"/>
  <c r="AT65" i="1"/>
  <c r="AJ65" i="1"/>
  <c r="AH65" i="1"/>
  <c r="AD65" i="1"/>
  <c r="AK65" i="1"/>
  <c r="AR65" i="1"/>
  <c r="AP65" i="1"/>
  <c r="AO65" i="1"/>
  <c r="AF65" i="1"/>
  <c r="AG65" i="1"/>
  <c r="AA65" i="1"/>
  <c r="Y65" i="1"/>
  <c r="U65" i="1"/>
  <c r="AN65" i="1"/>
  <c r="AE65" i="1"/>
  <c r="AC65" i="1"/>
  <c r="AV41" i="1"/>
  <c r="AP41" i="1"/>
  <c r="AQ41" i="1"/>
  <c r="AR41" i="1"/>
  <c r="AT41" i="1"/>
  <c r="AU41" i="1"/>
  <c r="AN41" i="1"/>
  <c r="AI41" i="1"/>
  <c r="AS41" i="1"/>
  <c r="AJ41" i="1"/>
  <c r="AO41" i="1"/>
  <c r="AK41" i="1"/>
  <c r="AL41" i="1"/>
  <c r="AH41" i="1"/>
  <c r="AB41" i="1"/>
  <c r="AE41" i="1"/>
  <c r="AF41" i="1"/>
  <c r="AM41" i="1"/>
  <c r="AG41" i="1"/>
  <c r="AC41" i="1"/>
  <c r="AD41" i="1"/>
  <c r="Z41" i="1"/>
  <c r="Y41" i="1"/>
  <c r="V41" i="1"/>
  <c r="M41" i="1"/>
  <c r="AA41" i="1"/>
  <c r="W41" i="1"/>
  <c r="S41" i="1"/>
  <c r="R41" i="1"/>
  <c r="K44" i="1"/>
  <c r="L45" i="1"/>
  <c r="L24" i="1"/>
  <c r="M30" i="1"/>
  <c r="AU100" i="1"/>
  <c r="AQ100" i="1"/>
  <c r="AV100" i="1"/>
  <c r="AS100" i="1"/>
  <c r="AT100" i="1"/>
  <c r="AL100" i="1"/>
  <c r="AR100" i="1"/>
  <c r="AP100" i="1"/>
  <c r="AM100" i="1"/>
  <c r="AJ100" i="1"/>
  <c r="I99" i="1"/>
  <c r="AH100" i="1"/>
  <c r="AD100" i="1"/>
  <c r="AO100" i="1"/>
  <c r="AN100" i="1"/>
  <c r="AF100" i="1"/>
  <c r="AI100" i="1"/>
  <c r="AC100" i="1"/>
  <c r="Y100" i="1"/>
  <c r="U100" i="1"/>
  <c r="AA100" i="1"/>
  <c r="Q100" i="1"/>
  <c r="Q99" i="1" s="1"/>
  <c r="AK100" i="1"/>
  <c r="AB100" i="1"/>
  <c r="AQ88" i="1"/>
  <c r="AV88" i="1"/>
  <c r="AR88" i="1"/>
  <c r="AT88" i="1"/>
  <c r="AU88" i="1"/>
  <c r="AN88" i="1"/>
  <c r="AP88" i="1"/>
  <c r="AJ88" i="1"/>
  <c r="AO88" i="1"/>
  <c r="AK88" i="1"/>
  <c r="AL88" i="1"/>
  <c r="AS88" i="1"/>
  <c r="AI88" i="1"/>
  <c r="AB88" i="1"/>
  <c r="AE88" i="1"/>
  <c r="AF88" i="1"/>
  <c r="AG88" i="1"/>
  <c r="AC88" i="1"/>
  <c r="AD88" i="1"/>
  <c r="AH88" i="1"/>
  <c r="AM88" i="1"/>
  <c r="Z88" i="1"/>
  <c r="V88" i="1"/>
  <c r="W88" i="1"/>
  <c r="S88" i="1"/>
  <c r="R88" i="1"/>
  <c r="AQ79" i="1"/>
  <c r="AV79" i="1"/>
  <c r="AR79" i="1"/>
  <c r="AT79" i="1"/>
  <c r="AU79" i="1"/>
  <c r="AS79" i="1"/>
  <c r="AN79" i="1"/>
  <c r="AI79" i="1"/>
  <c r="AJ79" i="1"/>
  <c r="AP79" i="1"/>
  <c r="AO79" i="1"/>
  <c r="AK79" i="1"/>
  <c r="AL79" i="1"/>
  <c r="AB79" i="1"/>
  <c r="AE79" i="1"/>
  <c r="AF79" i="1"/>
  <c r="AM79" i="1"/>
  <c r="AG79" i="1"/>
  <c r="AC79" i="1"/>
  <c r="Z79" i="1"/>
  <c r="V79" i="1"/>
  <c r="AD79" i="1"/>
  <c r="AH79" i="1"/>
  <c r="AA79" i="1"/>
  <c r="W79" i="1"/>
  <c r="S79" i="1"/>
  <c r="R79" i="1"/>
  <c r="AP69" i="1"/>
  <c r="AQ69" i="1"/>
  <c r="AV69" i="1"/>
  <c r="AR69" i="1"/>
  <c r="AT69" i="1"/>
  <c r="AU69" i="1"/>
  <c r="AN69" i="1"/>
  <c r="AI69" i="1"/>
  <c r="AJ69" i="1"/>
  <c r="AO69" i="1"/>
  <c r="AK69" i="1"/>
  <c r="AS69" i="1"/>
  <c r="AL69" i="1"/>
  <c r="AB69" i="1"/>
  <c r="AE69" i="1"/>
  <c r="AM69" i="1"/>
  <c r="AF69" i="1"/>
  <c r="AG69" i="1"/>
  <c r="AC69" i="1"/>
  <c r="AA69" i="1"/>
  <c r="AD69" i="1"/>
  <c r="Y69" i="1"/>
  <c r="Z69" i="1"/>
  <c r="V69" i="1"/>
  <c r="M69" i="1"/>
  <c r="AH69" i="1"/>
  <c r="W69" i="1"/>
  <c r="S69" i="1"/>
  <c r="R69" i="1"/>
  <c r="AV53" i="1"/>
  <c r="AR53" i="1"/>
  <c r="AT53" i="1"/>
  <c r="AS53" i="1"/>
  <c r="AP53" i="1"/>
  <c r="AM53" i="1"/>
  <c r="AU53" i="1"/>
  <c r="AQ53" i="1"/>
  <c r="AJ53" i="1"/>
  <c r="AO53" i="1"/>
  <c r="AK53" i="1"/>
  <c r="AN53" i="1"/>
  <c r="AE53" i="1"/>
  <c r="AA53" i="1"/>
  <c r="AL53" i="1"/>
  <c r="AG53" i="1"/>
  <c r="AC53" i="1"/>
  <c r="Y53" i="1"/>
  <c r="AH53" i="1"/>
  <c r="V53" i="1"/>
  <c r="AI53" i="1"/>
  <c r="AF53" i="1"/>
  <c r="X53" i="1"/>
  <c r="Q53" i="1"/>
  <c r="AB53" i="1"/>
  <c r="T53" i="1"/>
  <c r="P53" i="1"/>
  <c r="AV49" i="1"/>
  <c r="AR49" i="1"/>
  <c r="AT49" i="1"/>
  <c r="AS49" i="1"/>
  <c r="AP49" i="1"/>
  <c r="AQ49" i="1"/>
  <c r="AM49" i="1"/>
  <c r="AJ49" i="1"/>
  <c r="AO49" i="1"/>
  <c r="AK49" i="1"/>
  <c r="AN49" i="1"/>
  <c r="AH49" i="1"/>
  <c r="AE49" i="1"/>
  <c r="AA49" i="1"/>
  <c r="AL49" i="1"/>
  <c r="AU49" i="1"/>
  <c r="AI49" i="1"/>
  <c r="AG49" i="1"/>
  <c r="AC49" i="1"/>
  <c r="AF49" i="1"/>
  <c r="Y49" i="1"/>
  <c r="AD49" i="1"/>
  <c r="AB49" i="1"/>
  <c r="V49" i="1"/>
  <c r="X49" i="1"/>
  <c r="Q49" i="1"/>
  <c r="Z49" i="1"/>
  <c r="T49" i="1"/>
  <c r="P49" i="1"/>
  <c r="AV40" i="1"/>
  <c r="AR40" i="1"/>
  <c r="AT40" i="1"/>
  <c r="AS40" i="1"/>
  <c r="AP40" i="1"/>
  <c r="AU40" i="1"/>
  <c r="AM40" i="1"/>
  <c r="AJ40" i="1"/>
  <c r="AO40" i="1"/>
  <c r="AK40" i="1"/>
  <c r="AQ40" i="1"/>
  <c r="AN40" i="1"/>
  <c r="AH40" i="1"/>
  <c r="AE40" i="1"/>
  <c r="AA40" i="1"/>
  <c r="AI40" i="1"/>
  <c r="AG40" i="1"/>
  <c r="AC40" i="1"/>
  <c r="AD40" i="1"/>
  <c r="Z40" i="1"/>
  <c r="Y40" i="1"/>
  <c r="V40" i="1"/>
  <c r="X40" i="1"/>
  <c r="Q40" i="1"/>
  <c r="AL40" i="1"/>
  <c r="AB40" i="1"/>
  <c r="T40" i="1"/>
  <c r="P40" i="1"/>
  <c r="AV6" i="1"/>
  <c r="AT6" i="1"/>
  <c r="AR6" i="1"/>
  <c r="AU6" i="1"/>
  <c r="AS6" i="1"/>
  <c r="AM6" i="1"/>
  <c r="AN6" i="1"/>
  <c r="AF6" i="1"/>
  <c r="AG6" i="1"/>
  <c r="Y6" i="1"/>
  <c r="AB6" i="1"/>
  <c r="V6" i="1"/>
  <c r="AD6" i="1"/>
  <c r="Z6" i="1"/>
  <c r="T6" i="1"/>
  <c r="AR15" i="1"/>
  <c r="AT15" i="1"/>
  <c r="AS15" i="1"/>
  <c r="AV15" i="1"/>
  <c r="AU15" i="1"/>
  <c r="AP15" i="1"/>
  <c r="AJ15" i="1"/>
  <c r="AL15" i="1"/>
  <c r="AN15" i="1"/>
  <c r="AM15" i="1"/>
  <c r="AO15" i="1"/>
  <c r="AG15" i="1"/>
  <c r="AC15" i="1"/>
  <c r="AD15" i="1"/>
  <c r="AB15" i="1"/>
  <c r="AQ15" i="1"/>
  <c r="AI15" i="1"/>
  <c r="AE15" i="1"/>
  <c r="AK15" i="1"/>
  <c r="AF15" i="1"/>
  <c r="AH15" i="1"/>
  <c r="Z15" i="1"/>
  <c r="W15" i="1"/>
  <c r="S15" i="1"/>
  <c r="T15" i="1"/>
  <c r="P15" i="1"/>
  <c r="AV26" i="1"/>
  <c r="AT26" i="1"/>
  <c r="AS26" i="1"/>
  <c r="AU26" i="1"/>
  <c r="AR26" i="1"/>
  <c r="AQ26" i="1"/>
  <c r="AO26" i="1"/>
  <c r="AK26" i="1"/>
  <c r="AL26" i="1"/>
  <c r="AN26" i="1"/>
  <c r="AM26" i="1"/>
  <c r="AI26" i="1"/>
  <c r="AJ26" i="1"/>
  <c r="AG26" i="1"/>
  <c r="AC26" i="1"/>
  <c r="AE26" i="1"/>
  <c r="AA26" i="1"/>
  <c r="AP26" i="1"/>
  <c r="AH26" i="1"/>
  <c r="AB26" i="1"/>
  <c r="AF26" i="1"/>
  <c r="T26" i="1"/>
  <c r="AD26" i="1"/>
  <c r="O26" i="1"/>
  <c r="N26" i="1"/>
  <c r="V26" i="1"/>
  <c r="J95" i="1"/>
  <c r="J84" i="1"/>
  <c r="J75" i="1"/>
  <c r="J60" i="1"/>
  <c r="K73" i="1"/>
  <c r="K53" i="1"/>
  <c r="K49" i="1"/>
  <c r="K40" i="1"/>
  <c r="K23" i="1"/>
  <c r="K18" i="1"/>
  <c r="L92" i="1"/>
  <c r="L78" i="1"/>
  <c r="L72" i="1"/>
  <c r="L63" i="1"/>
  <c r="L54" i="1"/>
  <c r="L39" i="1"/>
  <c r="L35" i="1"/>
  <c r="L26" i="1"/>
  <c r="M100" i="1"/>
  <c r="M86" i="1"/>
  <c r="M80" i="1"/>
  <c r="M65" i="1"/>
  <c r="M53" i="1"/>
  <c r="M47" i="1"/>
  <c r="M34" i="1"/>
  <c r="M18" i="1"/>
  <c r="N97" i="1"/>
  <c r="N84" i="1"/>
  <c r="N67" i="1"/>
  <c r="N47" i="1"/>
  <c r="N34" i="1"/>
  <c r="N19" i="1"/>
  <c r="O91" i="1"/>
  <c r="O79" i="1"/>
  <c r="O60" i="1"/>
  <c r="O52" i="1"/>
  <c r="O41" i="1"/>
  <c r="O25" i="1"/>
  <c r="P100" i="1"/>
  <c r="P82" i="1"/>
  <c r="P72" i="1"/>
  <c r="P61" i="1"/>
  <c r="P48" i="1"/>
  <c r="P35" i="1"/>
  <c r="P21" i="1"/>
  <c r="Q7" i="1"/>
  <c r="Q82" i="1"/>
  <c r="Q74" i="1"/>
  <c r="Q61" i="1"/>
  <c r="Q30" i="1"/>
  <c r="Q21" i="1"/>
  <c r="Q8" i="1"/>
  <c r="R91" i="1"/>
  <c r="R58" i="1"/>
  <c r="R52" i="1"/>
  <c r="R40" i="1"/>
  <c r="R11" i="1"/>
  <c r="S98" i="1"/>
  <c r="S83" i="1"/>
  <c r="S65" i="1"/>
  <c r="S54" i="1"/>
  <c r="S40" i="1"/>
  <c r="S22" i="1"/>
  <c r="S8" i="1"/>
  <c r="T88" i="1"/>
  <c r="T67" i="1"/>
  <c r="T51" i="1"/>
  <c r="T42" i="1"/>
  <c r="T25" i="1"/>
  <c r="U88" i="1"/>
  <c r="U74" i="1"/>
  <c r="U53" i="1"/>
  <c r="U39" i="1"/>
  <c r="U20" i="1"/>
  <c r="V91" i="1"/>
  <c r="V75" i="1"/>
  <c r="V61" i="1"/>
  <c r="V45" i="1"/>
  <c r="V20" i="1"/>
  <c r="V11" i="1"/>
  <c r="W71" i="1"/>
  <c r="W61" i="1"/>
  <c r="W39" i="1"/>
  <c r="W23" i="1"/>
  <c r="W11" i="1"/>
  <c r="X78" i="1"/>
  <c r="X46" i="1"/>
  <c r="X19" i="1"/>
  <c r="Y79" i="1"/>
  <c r="Y35" i="1"/>
  <c r="Z74" i="1"/>
  <c r="Z45" i="1"/>
  <c r="AA66" i="1"/>
  <c r="AA32" i="1"/>
  <c r="AB98" i="1"/>
  <c r="AB62" i="1"/>
  <c r="AC11" i="1"/>
  <c r="AF92" i="1"/>
  <c r="AI83" i="1"/>
  <c r="AQ94" i="1"/>
  <c r="AV94" i="1"/>
  <c r="AR94" i="1"/>
  <c r="AR93" i="1" s="1"/>
  <c r="AT94" i="1"/>
  <c r="AS94" i="1"/>
  <c r="AU94" i="1"/>
  <c r="AP94" i="1"/>
  <c r="AP93" i="1" s="1"/>
  <c r="AJ94" i="1"/>
  <c r="AO94" i="1"/>
  <c r="AK94" i="1"/>
  <c r="AL94" i="1"/>
  <c r="AM94" i="1"/>
  <c r="AF94" i="1"/>
  <c r="AN94" i="1"/>
  <c r="AG94" i="1"/>
  <c r="AI94" i="1"/>
  <c r="AH94" i="1"/>
  <c r="AD94" i="1"/>
  <c r="AC94" i="1"/>
  <c r="AA94" i="1"/>
  <c r="Z94" i="1"/>
  <c r="X94" i="1"/>
  <c r="AE94" i="1"/>
  <c r="O94" i="1"/>
  <c r="N94" i="1"/>
  <c r="N93" i="1" s="1"/>
  <c r="AV60" i="1"/>
  <c r="AR60" i="1"/>
  <c r="AT60" i="1"/>
  <c r="AS60" i="1"/>
  <c r="AU60" i="1"/>
  <c r="AQ60" i="1"/>
  <c r="AO60" i="1"/>
  <c r="AK60" i="1"/>
  <c r="AL60" i="1"/>
  <c r="AN60" i="1"/>
  <c r="AP60" i="1"/>
  <c r="AI60" i="1"/>
  <c r="AF60" i="1"/>
  <c r="AM60" i="1"/>
  <c r="AG60" i="1"/>
  <c r="AJ60" i="1"/>
  <c r="AH60" i="1"/>
  <c r="AD60" i="1"/>
  <c r="Z60" i="1"/>
  <c r="AB60" i="1"/>
  <c r="AE60" i="1"/>
  <c r="W60" i="1"/>
  <c r="S60" i="1"/>
  <c r="R60" i="1"/>
  <c r="AA60" i="1"/>
  <c r="Y60" i="1"/>
  <c r="U60" i="1"/>
  <c r="AR30" i="1"/>
  <c r="AT30" i="1"/>
  <c r="AS30" i="1"/>
  <c r="AU30" i="1"/>
  <c r="AP30" i="1"/>
  <c r="AV30" i="1"/>
  <c r="AJ30" i="1"/>
  <c r="AL30" i="1"/>
  <c r="AL29" i="1" s="1"/>
  <c r="AQ30" i="1"/>
  <c r="AN30" i="1"/>
  <c r="AM30" i="1"/>
  <c r="AI30" i="1"/>
  <c r="AG30" i="1"/>
  <c r="AC30" i="1"/>
  <c r="AK30" i="1"/>
  <c r="AD30" i="1"/>
  <c r="AO30" i="1"/>
  <c r="AB30" i="1"/>
  <c r="AH30" i="1"/>
  <c r="AE30" i="1"/>
  <c r="W30" i="1"/>
  <c r="S30" i="1"/>
  <c r="AA30" i="1"/>
  <c r="T30" i="1"/>
  <c r="P30" i="1"/>
  <c r="AF30" i="1"/>
  <c r="Z30" i="1"/>
  <c r="K55" i="1"/>
  <c r="M94" i="1"/>
  <c r="AP59" i="1"/>
  <c r="AQ59" i="1"/>
  <c r="AV59" i="1"/>
  <c r="AR59" i="1"/>
  <c r="AT59" i="1"/>
  <c r="AU59" i="1"/>
  <c r="AN59" i="1"/>
  <c r="AI59" i="1"/>
  <c r="AJ59" i="1"/>
  <c r="AO59" i="1"/>
  <c r="AK59" i="1"/>
  <c r="AL59" i="1"/>
  <c r="AM59" i="1"/>
  <c r="AB59" i="1"/>
  <c r="AE59" i="1"/>
  <c r="AF59" i="1"/>
  <c r="AG59" i="1"/>
  <c r="AC59" i="1"/>
  <c r="Y59" i="1"/>
  <c r="AH59" i="1"/>
  <c r="AA59" i="1"/>
  <c r="V59" i="1"/>
  <c r="M59" i="1"/>
  <c r="AS59" i="1"/>
  <c r="AD59" i="1"/>
  <c r="W59" i="1"/>
  <c r="S59" i="1"/>
  <c r="R59" i="1"/>
  <c r="AV31" i="1"/>
  <c r="AR31" i="1"/>
  <c r="AT31" i="1"/>
  <c r="AU31" i="1"/>
  <c r="AN31" i="1"/>
  <c r="AS31" i="1"/>
  <c r="AB31" i="1"/>
  <c r="AM31" i="1"/>
  <c r="AF31" i="1"/>
  <c r="AG31" i="1"/>
  <c r="Y31" i="1"/>
  <c r="Z31" i="1"/>
  <c r="V31" i="1"/>
  <c r="W31" i="1"/>
  <c r="S31" i="1"/>
  <c r="R31" i="1"/>
  <c r="AR24" i="1"/>
  <c r="AT24" i="1"/>
  <c r="AS24" i="1"/>
  <c r="AU24" i="1"/>
  <c r="AV24" i="1"/>
  <c r="AJ24" i="1"/>
  <c r="AN24" i="1"/>
  <c r="AM24" i="1"/>
  <c r="AG24" i="1"/>
  <c r="AO24" i="1"/>
  <c r="AD24" i="1"/>
  <c r="AB24" i="1"/>
  <c r="AE24" i="1"/>
  <c r="AQ24" i="1"/>
  <c r="Z24" i="1"/>
  <c r="AI24" i="1"/>
  <c r="AF24" i="1"/>
  <c r="W24" i="1"/>
  <c r="S24" i="1"/>
  <c r="AH24" i="1"/>
  <c r="T24" i="1"/>
  <c r="P24" i="1"/>
  <c r="K41" i="1"/>
  <c r="L55" i="1"/>
  <c r="AQ97" i="1"/>
  <c r="AV97" i="1"/>
  <c r="AR97" i="1"/>
  <c r="AT97" i="1"/>
  <c r="AU97" i="1"/>
  <c r="AN97" i="1"/>
  <c r="AS97" i="1"/>
  <c r="AJ97" i="1"/>
  <c r="AO97" i="1"/>
  <c r="AK97" i="1"/>
  <c r="AL97" i="1"/>
  <c r="AM97" i="1"/>
  <c r="AB97" i="1"/>
  <c r="AE97" i="1"/>
  <c r="AF97" i="1"/>
  <c r="AG97" i="1"/>
  <c r="AC97" i="1"/>
  <c r="AI97" i="1"/>
  <c r="AH97" i="1"/>
  <c r="AD97" i="1"/>
  <c r="AA97" i="1"/>
  <c r="AP97" i="1"/>
  <c r="Z97" i="1"/>
  <c r="V97" i="1"/>
  <c r="W97" i="1"/>
  <c r="S97" i="1"/>
  <c r="R97" i="1"/>
  <c r="AV87" i="1"/>
  <c r="AR87" i="1"/>
  <c r="AT87" i="1"/>
  <c r="AS87" i="1"/>
  <c r="AP87" i="1"/>
  <c r="AM87" i="1"/>
  <c r="AJ87" i="1"/>
  <c r="AQ87" i="1"/>
  <c r="AO87" i="1"/>
  <c r="AK87" i="1"/>
  <c r="AU87" i="1"/>
  <c r="AN87" i="1"/>
  <c r="AE87" i="1"/>
  <c r="AA87" i="1"/>
  <c r="AL87" i="1"/>
  <c r="AG87" i="1"/>
  <c r="AC87" i="1"/>
  <c r="AH87" i="1"/>
  <c r="Z87" i="1"/>
  <c r="V87" i="1"/>
  <c r="X87" i="1"/>
  <c r="Q87" i="1"/>
  <c r="AF87" i="1"/>
  <c r="AI87" i="1"/>
  <c r="AD87" i="1"/>
  <c r="T87" i="1"/>
  <c r="P87" i="1"/>
  <c r="AV73" i="1"/>
  <c r="AR73" i="1"/>
  <c r="AT73" i="1"/>
  <c r="AS73" i="1"/>
  <c r="AP73" i="1"/>
  <c r="AM73" i="1"/>
  <c r="AJ73" i="1"/>
  <c r="AU73" i="1"/>
  <c r="AO73" i="1"/>
  <c r="AK73" i="1"/>
  <c r="AN73" i="1"/>
  <c r="AE73" i="1"/>
  <c r="AA73" i="1"/>
  <c r="AQ73" i="1"/>
  <c r="AI73" i="1"/>
  <c r="AG73" i="1"/>
  <c r="AC73" i="1"/>
  <c r="AF73" i="1"/>
  <c r="AB73" i="1"/>
  <c r="Z73" i="1"/>
  <c r="V73" i="1"/>
  <c r="AD73" i="1"/>
  <c r="X73" i="1"/>
  <c r="Q73" i="1"/>
  <c r="AL73" i="1"/>
  <c r="T73" i="1"/>
  <c r="P73" i="1"/>
  <c r="AV68" i="1"/>
  <c r="AR68" i="1"/>
  <c r="AT68" i="1"/>
  <c r="AS68" i="1"/>
  <c r="AP68" i="1"/>
  <c r="AM68" i="1"/>
  <c r="AU68" i="1"/>
  <c r="AJ68" i="1"/>
  <c r="AO68" i="1"/>
  <c r="AK68" i="1"/>
  <c r="AN68" i="1"/>
  <c r="AE68" i="1"/>
  <c r="AA68" i="1"/>
  <c r="AQ68" i="1"/>
  <c r="AI68" i="1"/>
  <c r="AG68" i="1"/>
  <c r="AC68" i="1"/>
  <c r="AL68" i="1"/>
  <c r="AD68" i="1"/>
  <c r="Y68" i="1"/>
  <c r="Z68" i="1"/>
  <c r="V68" i="1"/>
  <c r="AH68" i="1"/>
  <c r="AB68" i="1"/>
  <c r="X68" i="1"/>
  <c r="Q68" i="1"/>
  <c r="AF68" i="1"/>
  <c r="T68" i="1"/>
  <c r="P68" i="1"/>
  <c r="AQ51" i="1"/>
  <c r="AV51" i="1"/>
  <c r="AR51" i="1"/>
  <c r="AT51" i="1"/>
  <c r="AS51" i="1"/>
  <c r="AU51" i="1"/>
  <c r="AI51" i="1"/>
  <c r="AJ51" i="1"/>
  <c r="AO51" i="1"/>
  <c r="AK51" i="1"/>
  <c r="AP51" i="1"/>
  <c r="AL51" i="1"/>
  <c r="AM51" i="1"/>
  <c r="AF51" i="1"/>
  <c r="AN51" i="1"/>
  <c r="AG51" i="1"/>
  <c r="AC51" i="1"/>
  <c r="AH51" i="1"/>
  <c r="AD51" i="1"/>
  <c r="AE51" i="1"/>
  <c r="AA51" i="1"/>
  <c r="X51" i="1"/>
  <c r="Z51" i="1"/>
  <c r="O51" i="1"/>
  <c r="N51" i="1"/>
  <c r="AQ48" i="1"/>
  <c r="AV48" i="1"/>
  <c r="AR48" i="1"/>
  <c r="AT48" i="1"/>
  <c r="AS48" i="1"/>
  <c r="AU48" i="1"/>
  <c r="AP48" i="1"/>
  <c r="AI48" i="1"/>
  <c r="AJ48" i="1"/>
  <c r="AO48" i="1"/>
  <c r="AK48" i="1"/>
  <c r="AL48" i="1"/>
  <c r="AM48" i="1"/>
  <c r="AN48" i="1"/>
  <c r="AF48" i="1"/>
  <c r="AG48" i="1"/>
  <c r="AC48" i="1"/>
  <c r="AD48" i="1"/>
  <c r="AH48" i="1"/>
  <c r="AB48" i="1"/>
  <c r="X48" i="1"/>
  <c r="AA48" i="1"/>
  <c r="O48" i="1"/>
  <c r="N48" i="1"/>
  <c r="AV38" i="1"/>
  <c r="AQ38" i="1"/>
  <c r="AR38" i="1"/>
  <c r="AT38" i="1"/>
  <c r="AS38" i="1"/>
  <c r="AU38" i="1"/>
  <c r="AI38" i="1"/>
  <c r="AJ38" i="1"/>
  <c r="AO38" i="1"/>
  <c r="AK38" i="1"/>
  <c r="AP38" i="1"/>
  <c r="AL38" i="1"/>
  <c r="AM38" i="1"/>
  <c r="AF38" i="1"/>
  <c r="AG38" i="1"/>
  <c r="AC38" i="1"/>
  <c r="AD38" i="1"/>
  <c r="AN38" i="1"/>
  <c r="AE38" i="1"/>
  <c r="X38" i="1"/>
  <c r="AH38" i="1"/>
  <c r="O38" i="1"/>
  <c r="N38" i="1"/>
  <c r="AT8" i="1"/>
  <c r="AQ8" i="1"/>
  <c r="AV8" i="1"/>
  <c r="AR8" i="1"/>
  <c r="AU8" i="1"/>
  <c r="AS8" i="1"/>
  <c r="AO8" i="1"/>
  <c r="AI8" i="1"/>
  <c r="AJ8" i="1"/>
  <c r="AN8" i="1"/>
  <c r="AK8" i="1"/>
  <c r="AL8" i="1"/>
  <c r="AM8" i="1"/>
  <c r="AF8" i="1"/>
  <c r="AH8" i="1"/>
  <c r="AG8" i="1"/>
  <c r="AC8" i="1"/>
  <c r="AP8" i="1"/>
  <c r="AB8" i="1"/>
  <c r="AD8" i="1"/>
  <c r="AE8" i="1"/>
  <c r="AA8" i="1"/>
  <c r="P8" i="1"/>
  <c r="N8" i="1"/>
  <c r="AS91" i="1"/>
  <c r="AU91" i="1"/>
  <c r="AQ91" i="1"/>
  <c r="AT91" i="1"/>
  <c r="AR91" i="1"/>
  <c r="AN91" i="1"/>
  <c r="AM91" i="1"/>
  <c r="AV91" i="1"/>
  <c r="AP91" i="1"/>
  <c r="AO91" i="1"/>
  <c r="AK91" i="1"/>
  <c r="AJ91" i="1"/>
  <c r="AI91" i="1"/>
  <c r="AH91" i="1"/>
  <c r="AD91" i="1"/>
  <c r="AL91" i="1"/>
  <c r="AE91" i="1"/>
  <c r="AF91" i="1"/>
  <c r="AB91" i="1"/>
  <c r="Y91" i="1"/>
  <c r="U91" i="1"/>
  <c r="AG91" i="1"/>
  <c r="AC91" i="1"/>
  <c r="AA91" i="1"/>
  <c r="X91" i="1"/>
  <c r="Q91" i="1"/>
  <c r="J90" i="1"/>
  <c r="J83" i="1"/>
  <c r="J74" i="1"/>
  <c r="J55" i="1"/>
  <c r="J45" i="1"/>
  <c r="K94" i="1"/>
  <c r="K51" i="1"/>
  <c r="K48" i="1"/>
  <c r="K38" i="1"/>
  <c r="K20" i="1"/>
  <c r="K17" i="1"/>
  <c r="K8" i="1"/>
  <c r="L91" i="1"/>
  <c r="L77" i="1"/>
  <c r="L67" i="1"/>
  <c r="L62" i="1"/>
  <c r="L52" i="1"/>
  <c r="L37" i="1"/>
  <c r="L34" i="1"/>
  <c r="M97" i="1"/>
  <c r="M88" i="1"/>
  <c r="M79" i="1"/>
  <c r="M68" i="1"/>
  <c r="M51" i="1"/>
  <c r="M45" i="1"/>
  <c r="M33" i="1"/>
  <c r="M17" i="1"/>
  <c r="N98" i="1"/>
  <c r="N83" i="1"/>
  <c r="N65" i="1"/>
  <c r="N53" i="1"/>
  <c r="N45" i="1"/>
  <c r="N33" i="1"/>
  <c r="N18" i="1"/>
  <c r="O86" i="1"/>
  <c r="O73" i="1"/>
  <c r="O58" i="1"/>
  <c r="O46" i="1"/>
  <c r="O40" i="1"/>
  <c r="O24" i="1"/>
  <c r="P97" i="1"/>
  <c r="P84" i="1"/>
  <c r="P67" i="1"/>
  <c r="P59" i="1"/>
  <c r="P47" i="1"/>
  <c r="P34" i="1"/>
  <c r="P19" i="1"/>
  <c r="Q97" i="1"/>
  <c r="Q84" i="1"/>
  <c r="Q72" i="1"/>
  <c r="Q59" i="1"/>
  <c r="Q47" i="1"/>
  <c r="Q35" i="1"/>
  <c r="Q19" i="1"/>
  <c r="R86" i="1"/>
  <c r="R71" i="1"/>
  <c r="R63" i="1"/>
  <c r="R46" i="1"/>
  <c r="R38" i="1"/>
  <c r="R26" i="1"/>
  <c r="R10" i="1"/>
  <c r="S94" i="1"/>
  <c r="S78" i="1"/>
  <c r="S68" i="1"/>
  <c r="S52" i="1"/>
  <c r="S38" i="1"/>
  <c r="S21" i="1"/>
  <c r="T82" i="1"/>
  <c r="T65" i="1"/>
  <c r="T56" i="1"/>
  <c r="T41" i="1"/>
  <c r="T22" i="1"/>
  <c r="T8" i="1"/>
  <c r="U87" i="1"/>
  <c r="U72" i="1"/>
  <c r="U51" i="1"/>
  <c r="U41" i="1"/>
  <c r="U24" i="1"/>
  <c r="U6" i="1"/>
  <c r="V86" i="1"/>
  <c r="V74" i="1"/>
  <c r="V51" i="1"/>
  <c r="V37" i="1"/>
  <c r="V25" i="1"/>
  <c r="V10" i="1"/>
  <c r="W86" i="1"/>
  <c r="W72" i="1"/>
  <c r="W53" i="1"/>
  <c r="W37" i="1"/>
  <c r="W20" i="1"/>
  <c r="W10" i="1"/>
  <c r="X95" i="1"/>
  <c r="X80" i="1"/>
  <c r="X58" i="1"/>
  <c r="X44" i="1"/>
  <c r="X35" i="1"/>
  <c r="X16" i="1"/>
  <c r="Y90" i="1"/>
  <c r="Y73" i="1"/>
  <c r="Y55" i="1"/>
  <c r="Y20" i="1"/>
  <c r="Z100" i="1"/>
  <c r="Z99" i="1" s="1"/>
  <c r="Z67" i="1"/>
  <c r="Z38" i="1"/>
  <c r="AA58" i="1"/>
  <c r="AA20" i="1"/>
  <c r="AB94" i="1"/>
  <c r="AB51" i="1"/>
  <c r="AC95" i="1"/>
  <c r="AD78" i="1"/>
  <c r="AF58" i="1"/>
  <c r="AJ32" i="1"/>
  <c r="T29" i="1" l="1"/>
  <c r="U36" i="1"/>
  <c r="AL96" i="1"/>
  <c r="AI29" i="1"/>
  <c r="AH29" i="1"/>
  <c r="W36" i="1"/>
  <c r="AO29" i="1"/>
  <c r="F102" i="1"/>
  <c r="L36" i="1"/>
  <c r="AD36" i="1"/>
  <c r="AT36" i="1"/>
  <c r="S36" i="1"/>
  <c r="O36" i="1"/>
  <c r="AJ36" i="1"/>
  <c r="AH36" i="1"/>
  <c r="AN36" i="1"/>
  <c r="P36" i="1"/>
  <c r="AK29" i="1"/>
  <c r="Y36" i="1"/>
  <c r="AR36" i="1"/>
  <c r="AQ36" i="1"/>
  <c r="AB36" i="1"/>
  <c r="T36" i="1"/>
  <c r="Z36" i="1"/>
  <c r="AL36" i="1"/>
  <c r="AP36" i="1"/>
  <c r="AP29" i="1"/>
  <c r="K36" i="1"/>
  <c r="AG36" i="1"/>
  <c r="AK36" i="1"/>
  <c r="AU36" i="1"/>
  <c r="M36" i="1"/>
  <c r="V36" i="1"/>
  <c r="AA50" i="1"/>
  <c r="AM50" i="1"/>
  <c r="R36" i="1"/>
  <c r="Q36" i="1"/>
  <c r="AA36" i="1"/>
  <c r="AO36" i="1"/>
  <c r="AS36" i="1"/>
  <c r="J36" i="1"/>
  <c r="Z29" i="1"/>
  <c r="AM29" i="1"/>
  <c r="AS29" i="1"/>
  <c r="Q29" i="1"/>
  <c r="X36" i="1"/>
  <c r="AF36" i="1"/>
  <c r="AI36" i="1"/>
  <c r="AV36" i="1"/>
  <c r="N36" i="1"/>
  <c r="O29" i="1"/>
  <c r="AC36" i="1"/>
  <c r="AE36" i="1"/>
  <c r="AM36" i="1"/>
  <c r="AF29" i="1"/>
  <c r="AB29" i="1"/>
  <c r="AN29" i="1"/>
  <c r="AT29" i="1"/>
  <c r="K29" i="1"/>
  <c r="V29" i="1"/>
  <c r="P29" i="1"/>
  <c r="AQ29" i="1"/>
  <c r="AR29" i="1"/>
  <c r="N29" i="1"/>
  <c r="R29" i="1"/>
  <c r="AD29" i="1"/>
  <c r="M29" i="1"/>
  <c r="AA29" i="1"/>
  <c r="AJ29" i="1"/>
  <c r="S29" i="1"/>
  <c r="AC29" i="1"/>
  <c r="AV29" i="1"/>
  <c r="L29" i="1"/>
  <c r="W29" i="1"/>
  <c r="AG29" i="1"/>
  <c r="Y29" i="1"/>
  <c r="J29" i="1"/>
  <c r="AE29" i="1"/>
  <c r="AU29" i="1"/>
  <c r="Q43" i="1"/>
  <c r="U29" i="1"/>
  <c r="X29" i="1"/>
  <c r="K43" i="1"/>
  <c r="AG43" i="1"/>
  <c r="AA43" i="1"/>
  <c r="W43" i="1"/>
  <c r="AJ43" i="1"/>
  <c r="AP43" i="1"/>
  <c r="M43" i="1"/>
  <c r="AF43" i="1"/>
  <c r="AI43" i="1"/>
  <c r="X43" i="1"/>
  <c r="J43" i="1"/>
  <c r="V43" i="1"/>
  <c r="AE43" i="1"/>
  <c r="AN43" i="1"/>
  <c r="AD43" i="1"/>
  <c r="AB43" i="1"/>
  <c r="AU43" i="1"/>
  <c r="U43" i="1"/>
  <c r="Z43" i="1"/>
  <c r="Y43" i="1"/>
  <c r="AL43" i="1"/>
  <c r="AT43" i="1"/>
  <c r="P43" i="1"/>
  <c r="O43" i="1"/>
  <c r="AH43" i="1"/>
  <c r="AK43" i="1"/>
  <c r="AR43" i="1"/>
  <c r="N43" i="1"/>
  <c r="T43" i="1"/>
  <c r="R43" i="1"/>
  <c r="AM43" i="1"/>
  <c r="AO43" i="1"/>
  <c r="AV43" i="1"/>
  <c r="X57" i="1"/>
  <c r="S43" i="1"/>
  <c r="AC43" i="1"/>
  <c r="AS43" i="1"/>
  <c r="AQ43" i="1"/>
  <c r="L43" i="1"/>
  <c r="AL50" i="1"/>
  <c r="X50" i="1"/>
  <c r="AD50" i="1"/>
  <c r="AP50" i="1"/>
  <c r="AR50" i="1"/>
  <c r="W96" i="1"/>
  <c r="AA93" i="1"/>
  <c r="AT93" i="1"/>
  <c r="O57" i="1"/>
  <c r="O50" i="1"/>
  <c r="AJ50" i="1"/>
  <c r="Z50" i="1"/>
  <c r="AN50" i="1"/>
  <c r="AE50" i="1"/>
  <c r="M50" i="1"/>
  <c r="AI50" i="1"/>
  <c r="AF57" i="1"/>
  <c r="AK50" i="1"/>
  <c r="AC50" i="1"/>
  <c r="AE57" i="1"/>
  <c r="AS57" i="1"/>
  <c r="AA57" i="1"/>
  <c r="V50" i="1"/>
  <c r="AF50" i="1"/>
  <c r="AU50" i="1"/>
  <c r="M93" i="1"/>
  <c r="AQ93" i="1"/>
  <c r="Y57" i="1"/>
  <c r="AB57" i="1"/>
  <c r="AM57" i="1"/>
  <c r="AT57" i="1"/>
  <c r="V57" i="1"/>
  <c r="AS50" i="1"/>
  <c r="T50" i="1"/>
  <c r="W50" i="1"/>
  <c r="AD57" i="1"/>
  <c r="AQ57" i="1"/>
  <c r="AR57" i="1"/>
  <c r="J57" i="1"/>
  <c r="L57" i="1"/>
  <c r="AT50" i="1"/>
  <c r="P57" i="1"/>
  <c r="AH57" i="1"/>
  <c r="AN57" i="1"/>
  <c r="AV57" i="1"/>
  <c r="U57" i="1"/>
  <c r="R50" i="1"/>
  <c r="L50" i="1"/>
  <c r="P50" i="1"/>
  <c r="T57" i="1"/>
  <c r="AO57" i="1"/>
  <c r="AL57" i="1"/>
  <c r="Y50" i="1"/>
  <c r="K50" i="1"/>
  <c r="AH50" i="1"/>
  <c r="AV50" i="1"/>
  <c r="S57" i="1"/>
  <c r="AC57" i="1"/>
  <c r="AJ57" i="1"/>
  <c r="M57" i="1"/>
  <c r="N57" i="1"/>
  <c r="AB50" i="1"/>
  <c r="N50" i="1"/>
  <c r="AO50" i="1"/>
  <c r="AQ50" i="1"/>
  <c r="S50" i="1"/>
  <c r="Q57" i="1"/>
  <c r="W57" i="1"/>
  <c r="AG57" i="1"/>
  <c r="AP57" i="1"/>
  <c r="J50" i="1"/>
  <c r="AK57" i="1"/>
  <c r="U50" i="1"/>
  <c r="AG50" i="1"/>
  <c r="R57" i="1"/>
  <c r="Q50" i="1"/>
  <c r="Z57" i="1"/>
  <c r="AI57" i="1"/>
  <c r="AU57" i="1"/>
  <c r="K57" i="1"/>
  <c r="M64" i="1"/>
  <c r="AF64" i="1"/>
  <c r="O64" i="1"/>
  <c r="AJ93" i="1"/>
  <c r="K64" i="1"/>
  <c r="AE93" i="1"/>
  <c r="AB93" i="1"/>
  <c r="AO93" i="1"/>
  <c r="AQ96" i="1"/>
  <c r="AG93" i="1"/>
  <c r="N64" i="1"/>
  <c r="AN96" i="1"/>
  <c r="AG64" i="1"/>
  <c r="AJ64" i="1"/>
  <c r="AU64" i="1"/>
  <c r="X64" i="1"/>
  <c r="AT64" i="1"/>
  <c r="AT96" i="1"/>
  <c r="AK93" i="1"/>
  <c r="AC64" i="1"/>
  <c r="AO64" i="1"/>
  <c r="AI64" i="1"/>
  <c r="V64" i="1"/>
  <c r="W64" i="1"/>
  <c r="AH96" i="1"/>
  <c r="S64" i="1"/>
  <c r="AE64" i="1"/>
  <c r="AP64" i="1"/>
  <c r="AM64" i="1"/>
  <c r="Q64" i="1"/>
  <c r="P96" i="1"/>
  <c r="AN64" i="1"/>
  <c r="AR64" i="1"/>
  <c r="AL64" i="1"/>
  <c r="J64" i="1"/>
  <c r="L64" i="1"/>
  <c r="P64" i="1"/>
  <c r="R70" i="1"/>
  <c r="U64" i="1"/>
  <c r="AK64" i="1"/>
  <c r="AS64" i="1"/>
  <c r="AB64" i="1"/>
  <c r="Y64" i="1"/>
  <c r="AD64" i="1"/>
  <c r="AV64" i="1"/>
  <c r="W93" i="1"/>
  <c r="T64" i="1"/>
  <c r="AF96" i="1"/>
  <c r="AA64" i="1"/>
  <c r="AH64" i="1"/>
  <c r="AQ64" i="1"/>
  <c r="R64" i="1"/>
  <c r="Z64" i="1"/>
  <c r="S70" i="1"/>
  <c r="P70" i="1"/>
  <c r="AO70" i="1"/>
  <c r="AQ70" i="1"/>
  <c r="O85" i="1"/>
  <c r="AD93" i="1"/>
  <c r="AV93" i="1"/>
  <c r="Q93" i="1"/>
  <c r="AN93" i="1"/>
  <c r="S93" i="1"/>
  <c r="K93" i="1"/>
  <c r="AD70" i="1"/>
  <c r="AK70" i="1"/>
  <c r="AV70" i="1"/>
  <c r="L70" i="1"/>
  <c r="AL93" i="1"/>
  <c r="Q70" i="1"/>
  <c r="O70" i="1"/>
  <c r="AC70" i="1"/>
  <c r="AJ70" i="1"/>
  <c r="J70" i="1"/>
  <c r="AH70" i="1"/>
  <c r="AD96" i="1"/>
  <c r="AE70" i="1"/>
  <c r="AG70" i="1"/>
  <c r="AI70" i="1"/>
  <c r="AH93" i="1"/>
  <c r="V70" i="1"/>
  <c r="Y70" i="1"/>
  <c r="AN70" i="1"/>
  <c r="AF70" i="1"/>
  <c r="AU70" i="1"/>
  <c r="K70" i="1"/>
  <c r="N70" i="1"/>
  <c r="X70" i="1"/>
  <c r="AM70" i="1"/>
  <c r="AS70" i="1"/>
  <c r="Z70" i="1"/>
  <c r="AL70" i="1"/>
  <c r="AT70" i="1"/>
  <c r="M70" i="1"/>
  <c r="U70" i="1"/>
  <c r="W70" i="1"/>
  <c r="AA70" i="1"/>
  <c r="T70" i="1"/>
  <c r="AB70" i="1"/>
  <c r="AP70" i="1"/>
  <c r="AR70" i="1"/>
  <c r="W85" i="1"/>
  <c r="X93" i="1"/>
  <c r="AU93" i="1"/>
  <c r="AF93" i="1"/>
  <c r="R93" i="1"/>
  <c r="AM93" i="1"/>
  <c r="Y89" i="1"/>
  <c r="P93" i="1"/>
  <c r="O93" i="1"/>
  <c r="Z93" i="1"/>
  <c r="AS93" i="1"/>
  <c r="U93" i="1"/>
  <c r="L93" i="1"/>
  <c r="AC93" i="1"/>
  <c r="T93" i="1"/>
  <c r="V93" i="1"/>
  <c r="J93" i="1"/>
  <c r="K89" i="1"/>
  <c r="J89" i="1"/>
  <c r="AI93" i="1"/>
  <c r="O89" i="1"/>
  <c r="R89" i="1"/>
  <c r="Y93" i="1"/>
  <c r="R85" i="1"/>
  <c r="K85" i="1"/>
  <c r="V85" i="1"/>
  <c r="AB85" i="1"/>
  <c r="AT85" i="1"/>
  <c r="AQ85" i="1"/>
  <c r="AD89" i="1"/>
  <c r="AN89" i="1"/>
  <c r="AV89" i="1"/>
  <c r="L89" i="1"/>
  <c r="AI96" i="1"/>
  <c r="AE85" i="1"/>
  <c r="AR85" i="1"/>
  <c r="AV85" i="1"/>
  <c r="V89" i="1"/>
  <c r="AB89" i="1"/>
  <c r="AM89" i="1"/>
  <c r="AR89" i="1"/>
  <c r="AC85" i="1"/>
  <c r="N89" i="1"/>
  <c r="AO85" i="1"/>
  <c r="AJ85" i="1"/>
  <c r="AU85" i="1"/>
  <c r="AF89" i="1"/>
  <c r="AH89" i="1"/>
  <c r="AL89" i="1"/>
  <c r="AK85" i="1"/>
  <c r="AP85" i="1"/>
  <c r="P89" i="1"/>
  <c r="AI89" i="1"/>
  <c r="AJ89" i="1"/>
  <c r="J85" i="1"/>
  <c r="AF85" i="1"/>
  <c r="AI85" i="1"/>
  <c r="M89" i="1"/>
  <c r="T89" i="1"/>
  <c r="AQ89" i="1"/>
  <c r="AP89" i="1"/>
  <c r="AA89" i="1"/>
  <c r="L85" i="1"/>
  <c r="T85" i="1"/>
  <c r="AG85" i="1"/>
  <c r="AN85" i="1"/>
  <c r="AM85" i="1"/>
  <c r="U89" i="1"/>
  <c r="P85" i="1"/>
  <c r="S85" i="1"/>
  <c r="N85" i="1"/>
  <c r="AK89" i="1"/>
  <c r="AC89" i="1"/>
  <c r="AU89" i="1"/>
  <c r="AA85" i="1"/>
  <c r="S89" i="1"/>
  <c r="U85" i="1"/>
  <c r="AD85" i="1"/>
  <c r="AL85" i="1"/>
  <c r="Q85" i="1"/>
  <c r="W89" i="1"/>
  <c r="AG89" i="1"/>
  <c r="AS89" i="1"/>
  <c r="Z85" i="1"/>
  <c r="Z89" i="1"/>
  <c r="M85" i="1"/>
  <c r="Y85" i="1"/>
  <c r="AH85" i="1"/>
  <c r="AS85" i="1"/>
  <c r="AE89" i="1"/>
  <c r="AO89" i="1"/>
  <c r="AT89" i="1"/>
  <c r="X85" i="1"/>
  <c r="X89" i="1"/>
  <c r="Q89" i="1"/>
  <c r="AM96" i="1"/>
  <c r="J9" i="1"/>
  <c r="R96" i="1"/>
  <c r="AR96" i="1"/>
  <c r="S81" i="1"/>
  <c r="AD81" i="1"/>
  <c r="AO81" i="1"/>
  <c r="AV81" i="1"/>
  <c r="J81" i="1"/>
  <c r="AS96" i="1"/>
  <c r="AE96" i="1"/>
  <c r="N81" i="1"/>
  <c r="AH81" i="1"/>
  <c r="AJ81" i="1"/>
  <c r="AQ81" i="1"/>
  <c r="M81" i="1"/>
  <c r="Y81" i="1"/>
  <c r="O81" i="1"/>
  <c r="AG81" i="1"/>
  <c r="AP81" i="1"/>
  <c r="U81" i="1"/>
  <c r="AB81" i="1"/>
  <c r="AF81" i="1"/>
  <c r="AI81" i="1"/>
  <c r="AC81" i="1"/>
  <c r="T81" i="1"/>
  <c r="AA81" i="1"/>
  <c r="AN81" i="1"/>
  <c r="AU81" i="1"/>
  <c r="P81" i="1"/>
  <c r="V81" i="1"/>
  <c r="X81" i="1"/>
  <c r="AM81" i="1"/>
  <c r="AS81" i="1"/>
  <c r="Q81" i="1"/>
  <c r="Z81" i="1"/>
  <c r="AL81" i="1"/>
  <c r="AT81" i="1"/>
  <c r="R81" i="1"/>
  <c r="K81" i="1"/>
  <c r="L81" i="1"/>
  <c r="AE81" i="1"/>
  <c r="AK81" i="1"/>
  <c r="AR81" i="1"/>
  <c r="W81" i="1"/>
  <c r="AC76" i="1"/>
  <c r="AH76" i="1"/>
  <c r="P76" i="1"/>
  <c r="AG76" i="1"/>
  <c r="AL76" i="1"/>
  <c r="AQ76" i="1"/>
  <c r="K76" i="1"/>
  <c r="AT76" i="1"/>
  <c r="R76" i="1"/>
  <c r="AA76" i="1"/>
  <c r="AK76" i="1"/>
  <c r="AU76" i="1"/>
  <c r="L76" i="1"/>
  <c r="Q76" i="1"/>
  <c r="AJ76" i="1"/>
  <c r="AO76" i="1"/>
  <c r="AS76" i="1"/>
  <c r="J76" i="1"/>
  <c r="O76" i="1"/>
  <c r="X76" i="1"/>
  <c r="AF76" i="1"/>
  <c r="AP76" i="1"/>
  <c r="T76" i="1"/>
  <c r="Z96" i="1"/>
  <c r="U76" i="1"/>
  <c r="AI76" i="1"/>
  <c r="AR76" i="1"/>
  <c r="M76" i="1"/>
  <c r="Y76" i="1"/>
  <c r="AE76" i="1"/>
  <c r="AM76" i="1"/>
  <c r="N76" i="1"/>
  <c r="AV76" i="1"/>
  <c r="AU96" i="1"/>
  <c r="Z76" i="1"/>
  <c r="AB76" i="1"/>
  <c r="AD76" i="1"/>
  <c r="AN76" i="1"/>
  <c r="V76" i="1"/>
  <c r="S76" i="1"/>
  <c r="W76" i="1"/>
  <c r="AB96" i="1"/>
  <c r="K96" i="1"/>
  <c r="Q96" i="1"/>
  <c r="AK96" i="1"/>
  <c r="AV96" i="1"/>
  <c r="AC96" i="1"/>
  <c r="M96" i="1"/>
  <c r="AP96" i="1"/>
  <c r="AA96" i="1"/>
  <c r="S96" i="1"/>
  <c r="O96" i="1"/>
  <c r="AV9" i="1"/>
  <c r="N96" i="1"/>
  <c r="T96" i="1"/>
  <c r="AO96" i="1"/>
  <c r="L96" i="1"/>
  <c r="V96" i="1"/>
  <c r="AG96" i="1"/>
  <c r="AJ96" i="1"/>
  <c r="Y96" i="1"/>
  <c r="X96" i="1"/>
  <c r="U96" i="1"/>
  <c r="AG99" i="1"/>
  <c r="AU9" i="1"/>
  <c r="AW12" i="1"/>
  <c r="AW102" i="1" s="1"/>
  <c r="I102" i="1"/>
  <c r="J12" i="1"/>
  <c r="AO27" i="1"/>
  <c r="AO12" i="1" s="1"/>
  <c r="X27" i="1"/>
  <c r="X12" i="1" s="1"/>
  <c r="AK27" i="1"/>
  <c r="AK12" i="1" s="1"/>
  <c r="AS27" i="1"/>
  <c r="AS12" i="1" s="1"/>
  <c r="T27" i="1"/>
  <c r="T12" i="1" s="1"/>
  <c r="Y27" i="1"/>
  <c r="Y12" i="1" s="1"/>
  <c r="AN27" i="1"/>
  <c r="AN12" i="1" s="1"/>
  <c r="U27" i="1"/>
  <c r="U12" i="1" s="1"/>
  <c r="AB27" i="1"/>
  <c r="AB12" i="1" s="1"/>
  <c r="AJ27" i="1"/>
  <c r="AJ12" i="1" s="1"/>
  <c r="AA27" i="1"/>
  <c r="AA12" i="1" s="1"/>
  <c r="AD27" i="1"/>
  <c r="AD12" i="1" s="1"/>
  <c r="AR27" i="1"/>
  <c r="AR12" i="1" s="1"/>
  <c r="O27" i="1"/>
  <c r="O12" i="1" s="1"/>
  <c r="K27" i="1"/>
  <c r="K12" i="1" s="1"/>
  <c r="AC27" i="1"/>
  <c r="AC12" i="1" s="1"/>
  <c r="AQ27" i="1"/>
  <c r="AQ12" i="1" s="1"/>
  <c r="Z27" i="1"/>
  <c r="Z12" i="1" s="1"/>
  <c r="AF27" i="1"/>
  <c r="AF12" i="1" s="1"/>
  <c r="AU27" i="1"/>
  <c r="AU12" i="1" s="1"/>
  <c r="Q27" i="1"/>
  <c r="Q12" i="1" s="1"/>
  <c r="R27" i="1"/>
  <c r="R12" i="1" s="1"/>
  <c r="AH27" i="1"/>
  <c r="AH12" i="1" s="1"/>
  <c r="AP27" i="1"/>
  <c r="AP12" i="1" s="1"/>
  <c r="W27" i="1"/>
  <c r="W12" i="1" s="1"/>
  <c r="AL27" i="1"/>
  <c r="AL12" i="1" s="1"/>
  <c r="AV27" i="1"/>
  <c r="AV12" i="1" s="1"/>
  <c r="M27" i="1"/>
  <c r="M12" i="1" s="1"/>
  <c r="N27" i="1"/>
  <c r="N12" i="1" s="1"/>
  <c r="S27" i="1"/>
  <c r="S12" i="1" s="1"/>
  <c r="AG27" i="1"/>
  <c r="AG12" i="1" s="1"/>
  <c r="AI27" i="1"/>
  <c r="AI12" i="1" s="1"/>
  <c r="P27" i="1"/>
  <c r="P12" i="1" s="1"/>
  <c r="AM27" i="1"/>
  <c r="AM12" i="1" s="1"/>
  <c r="V27" i="1"/>
  <c r="V12" i="1" s="1"/>
  <c r="AE27" i="1"/>
  <c r="AE12" i="1" s="1"/>
  <c r="AT27" i="1"/>
  <c r="AT12" i="1" s="1"/>
  <c r="L27" i="1"/>
  <c r="L12" i="1" s="1"/>
  <c r="Q9" i="1"/>
  <c r="N9" i="1"/>
  <c r="X99" i="1"/>
  <c r="J99" i="1"/>
  <c r="N99" i="1"/>
  <c r="L9" i="1"/>
  <c r="O9" i="1"/>
  <c r="S9" i="1"/>
  <c r="O99" i="1"/>
  <c r="V9" i="1"/>
  <c r="K99" i="1"/>
  <c r="M99" i="1"/>
  <c r="W99" i="1"/>
  <c r="P99" i="1"/>
  <c r="M9" i="1"/>
  <c r="AA9" i="1"/>
  <c r="R9" i="1"/>
  <c r="AJ9" i="1"/>
  <c r="K9" i="1"/>
  <c r="X9" i="1"/>
  <c r="V99" i="1"/>
  <c r="Z9" i="1"/>
  <c r="AO9" i="1"/>
  <c r="R99" i="1"/>
  <c r="AE9" i="1"/>
  <c r="AT9" i="1"/>
  <c r="AR9" i="1"/>
  <c r="P9" i="1"/>
  <c r="Y9" i="1"/>
  <c r="AD9" i="1"/>
  <c r="AS9" i="1"/>
  <c r="T9" i="1"/>
  <c r="AK9" i="1"/>
  <c r="AQ9" i="1"/>
  <c r="S99" i="1"/>
  <c r="AF9" i="1"/>
  <c r="AI9" i="1"/>
  <c r="AB99" i="1"/>
  <c r="AH9" i="1"/>
  <c r="AM9" i="1"/>
  <c r="W9" i="1"/>
  <c r="AC9" i="1"/>
  <c r="AN9" i="1"/>
  <c r="AP9" i="1"/>
  <c r="AG9" i="1"/>
  <c r="AB9" i="1"/>
  <c r="AL9" i="1"/>
  <c r="U9" i="1"/>
  <c r="AC99" i="1"/>
  <c r="AJ99" i="1"/>
  <c r="AQ99" i="1"/>
  <c r="AF99" i="1"/>
  <c r="AP99" i="1"/>
  <c r="AI99" i="1"/>
  <c r="AM99" i="1"/>
  <c r="AU99" i="1"/>
  <c r="AK99" i="1"/>
  <c r="AN99" i="1"/>
  <c r="AR99" i="1"/>
  <c r="AO99" i="1"/>
  <c r="AL99" i="1"/>
  <c r="AA99" i="1"/>
  <c r="AD99" i="1"/>
  <c r="AT99" i="1"/>
  <c r="U99" i="1"/>
  <c r="AH99" i="1"/>
  <c r="AS99" i="1"/>
  <c r="Y99" i="1"/>
  <c r="AV99" i="1"/>
  <c r="AE99" i="1"/>
  <c r="T99" i="1"/>
  <c r="L99" i="1"/>
  <c r="AV102" i="1" l="1"/>
  <c r="K102" i="1"/>
  <c r="J102" i="1"/>
  <c r="AH102" i="1"/>
  <c r="AM102" i="1"/>
  <c r="AS102" i="1"/>
  <c r="AF102" i="1"/>
  <c r="AE102" i="1"/>
  <c r="M102" i="1"/>
  <c r="O102" i="1"/>
  <c r="S102" i="1"/>
  <c r="T102" i="1"/>
  <c r="Z102" i="1"/>
  <c r="AB102" i="1"/>
  <c r="AJ102" i="1"/>
  <c r="N102" i="1"/>
  <c r="X102" i="1"/>
  <c r="AC102" i="1"/>
  <c r="AU102" i="1"/>
  <c r="AG102" i="1"/>
  <c r="AP102" i="1"/>
  <c r="AT102" i="1"/>
  <c r="P102" i="1"/>
  <c r="AO102" i="1"/>
  <c r="R102" i="1"/>
  <c r="AK102" i="1"/>
  <c r="AD102" i="1"/>
  <c r="V102" i="1"/>
  <c r="AQ102" i="1"/>
  <c r="Y102" i="1"/>
  <c r="AA102" i="1"/>
  <c r="AI102" i="1"/>
  <c r="Q102" i="1"/>
  <c r="L102" i="1"/>
  <c r="U102" i="1"/>
  <c r="AL102" i="1"/>
  <c r="W102" i="1"/>
  <c r="AR102" i="1"/>
  <c r="AN102" i="1"/>
</calcChain>
</file>

<file path=xl/sharedStrings.xml><?xml version="1.0" encoding="utf-8"?>
<sst xmlns="http://schemas.openxmlformats.org/spreadsheetml/2006/main" count="168" uniqueCount="113">
  <si>
    <t>Subdivision Amounts are Calculated from Maine Subdivision Net Total (Column I)</t>
  </si>
  <si>
    <t>Maine Settlement Totals</t>
  </si>
  <si>
    <t>Maine Recovery Council</t>
  </si>
  <si>
    <t>Office of the Attorney General</t>
  </si>
  <si>
    <t>Maine Subdivision Total</t>
  </si>
  <si>
    <t>Maine Attorney Fees Backstop Fund (Funded from Distributors &amp; J&amp;J)</t>
  </si>
  <si>
    <t>Maine Subdivision Net Total</t>
  </si>
  <si>
    <t>Androscoggin County</t>
  </si>
  <si>
    <t>Aroostook County</t>
  </si>
  <si>
    <t>Auburn City</t>
  </si>
  <si>
    <t>Bangor City</t>
  </si>
  <si>
    <t>Brunswick Town</t>
  </si>
  <si>
    <t>Cumberland County</t>
  </si>
  <si>
    <t>Falmouth Town</t>
  </si>
  <si>
    <t>Franklin County</t>
  </si>
  <si>
    <t>Gorham Town</t>
  </si>
  <si>
    <t>Hancock County</t>
  </si>
  <si>
    <t>Kennebec County</t>
  </si>
  <si>
    <t>Kennebunk Town</t>
  </si>
  <si>
    <t>Knox County</t>
  </si>
  <si>
    <t>Lewiston City</t>
  </si>
  <si>
    <t>Orono Town</t>
  </si>
  <si>
    <t>Penobscot County</t>
  </si>
  <si>
    <t>Portland City</t>
  </si>
  <si>
    <t>Rockland City</t>
  </si>
  <si>
    <t>South Portland City</t>
  </si>
  <si>
    <t>Standish Town</t>
  </si>
  <si>
    <t>Wells Town</t>
  </si>
  <si>
    <t>Westbrook City</t>
  </si>
  <si>
    <t>Windham Town</t>
  </si>
  <si>
    <t>York County</t>
  </si>
  <si>
    <t>York Town</t>
  </si>
  <si>
    <t>School Districts' Earmarked Fund (Part of the Maine Recovery Council Funding)</t>
  </si>
  <si>
    <t>50% of Column C</t>
  </si>
  <si>
    <t>30% of Column C</t>
  </si>
  <si>
    <t>2022 Payments</t>
  </si>
  <si>
    <t>2023 Payments</t>
  </si>
  <si>
    <t>TOTAL</t>
  </si>
  <si>
    <t>Maine Settlement Totals*</t>
  </si>
  <si>
    <t>J&amp;J</t>
  </si>
  <si>
    <t>Distributors</t>
  </si>
  <si>
    <t>Mallindrockt</t>
  </si>
  <si>
    <t>Walmart</t>
  </si>
  <si>
    <t>Allergan</t>
  </si>
  <si>
    <t>Teva</t>
  </si>
  <si>
    <t>Walgreens</t>
  </si>
  <si>
    <t>CVS</t>
  </si>
  <si>
    <t>*Does not include Tribal Settlements</t>
  </si>
  <si>
    <t>Augusta City*</t>
  </si>
  <si>
    <t>Biddeford City*</t>
  </si>
  <si>
    <t>Calais City*</t>
  </si>
  <si>
    <t>Lincoln County*</t>
  </si>
  <si>
    <t>Oxford County*</t>
  </si>
  <si>
    <t>Piscataquis County*</t>
  </si>
  <si>
    <t>Saco City*</t>
  </si>
  <si>
    <t>Sagadahoc County*</t>
  </si>
  <si>
    <t>Sanford City*</t>
  </si>
  <si>
    <t>Scarborough Town*</t>
  </si>
  <si>
    <t>Somerset County*</t>
  </si>
  <si>
    <t>Waldo County*</t>
  </si>
  <si>
    <t>Washington County*</t>
  </si>
  <si>
    <t>Waterville City*</t>
  </si>
  <si>
    <t>Subdivisions with an asterisk elected to receive J&amp;J payments for 2022-2025 in 4 equal amounts. Other subdivisions received J&amp;J payments in a lump sum consisting of the payments for 2022-2025. Affects payments in 2022, 2023, 2024 &amp; 2025.</t>
  </si>
  <si>
    <t>Percentages are from the Memorandum of Understanding, Exhibit 3</t>
  </si>
  <si>
    <t>2024 Payments</t>
  </si>
  <si>
    <t>2025 Payments</t>
  </si>
  <si>
    <t>2026 Payments</t>
  </si>
  <si>
    <t>2027 Payments</t>
  </si>
  <si>
    <t>2028 Payments</t>
  </si>
  <si>
    <t>2029 Payments</t>
  </si>
  <si>
    <t>2030 Payments</t>
  </si>
  <si>
    <t>2031 Payments</t>
  </si>
  <si>
    <t>2032 Payments</t>
  </si>
  <si>
    <t>2033 Payments</t>
  </si>
  <si>
    <t>2034 Payments</t>
  </si>
  <si>
    <t>2035 Payments</t>
  </si>
  <si>
    <t>2036 Payments</t>
  </si>
  <si>
    <t>2037 Payments</t>
  </si>
  <si>
    <t>2038 Payments</t>
  </si>
  <si>
    <t>Created by the Office of the Maine Attorney General
 more information available at  https://www.maine.gov/ag/opioids/</t>
  </si>
  <si>
    <t xml:space="preserve">**The Maine Attorney General's Office has no further information regarding these settlements.
 For more information please visit https://www.tribalopioidsettlements.com/ </t>
  </si>
  <si>
    <t>7% of Column G</t>
  </si>
  <si>
    <r>
      <t xml:space="preserve">Column G </t>
    </r>
    <r>
      <rPr>
        <i/>
        <sz val="11"/>
        <color theme="1"/>
        <rFont val="Calibri"/>
        <family val="2"/>
      </rPr>
      <t>minus</t>
    </r>
    <r>
      <rPr>
        <sz val="11"/>
        <color theme="1"/>
        <rFont val="Calibri"/>
        <family val="2"/>
      </rPr>
      <t xml:space="preserve"> Column H</t>
    </r>
  </si>
  <si>
    <t>Additonal Remediation and Restitution Amounts</t>
  </si>
  <si>
    <t>Not included in column C</t>
  </si>
  <si>
    <t xml:space="preserve">Distributor 1st </t>
  </si>
  <si>
    <t>Distributor 2nd</t>
  </si>
  <si>
    <t xml:space="preserve">Distributor </t>
  </si>
  <si>
    <t>Mallinckrodt</t>
  </si>
  <si>
    <t xml:space="preserve">Mallinckrodt </t>
  </si>
  <si>
    <t xml:space="preserve">Walmart 1st </t>
  </si>
  <si>
    <t xml:space="preserve">Walmart 2nd </t>
  </si>
  <si>
    <t xml:space="preserve">Allergan 1st </t>
  </si>
  <si>
    <t xml:space="preserve">Teva 1st </t>
  </si>
  <si>
    <t xml:space="preserve">Walgreens 1st </t>
  </si>
  <si>
    <t xml:space="preserve">CVS 1st </t>
  </si>
  <si>
    <t xml:space="preserve">Allergan 2nd </t>
  </si>
  <si>
    <t>Cencora ***</t>
  </si>
  <si>
    <t>Teva 2nd</t>
  </si>
  <si>
    <t>Walgreens 2nd</t>
  </si>
  <si>
    <t xml:space="preserve">CVS 2nd </t>
  </si>
  <si>
    <t>Distributor</t>
  </si>
  <si>
    <t xml:space="preserve">Walgreens </t>
  </si>
  <si>
    <t xml:space="preserve">CVS </t>
  </si>
  <si>
    <t xml:space="preserve">J&amp;J </t>
  </si>
  <si>
    <t xml:space="preserve">Allergan </t>
  </si>
  <si>
    <t xml:space="preserve">Teva </t>
  </si>
  <si>
    <t>Cardinal***</t>
  </si>
  <si>
    <t xml:space="preserve">***Cencora and Cardinal , two of the Distributors, prepaid their 2027 payments in 2024.  In 2027, only the McKesson payment will be made. </t>
  </si>
  <si>
    <t>Distributor***</t>
  </si>
  <si>
    <t>All amounts are estimates and are subject to change. Last updated 3/12/2024. Settlement totals are at the bottom of the data.</t>
  </si>
  <si>
    <t>3% of 50% (Column E)</t>
  </si>
  <si>
    <t>Column D + 20% of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</si>
</sst>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CC66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</cellStyleXfs>
  <cellXfs count="88">
    <xf numFmtId="0" fontId="0" fillId="0" borderId="0" xfId="0"/>
    <xf numFmtId="0" fontId="5" fillId="0" borderId="0" xfId="0" applyFont="1"/>
    <xf numFmtId="164" fontId="5" fillId="0" borderId="0" xfId="0" applyNumberFormat="1" applyFont="1"/>
    <xf numFmtId="164" fontId="6" fillId="6" borderId="3" xfId="0" applyNumberFormat="1" applyFont="1" applyFill="1" applyBorder="1" applyAlignment="1">
      <alignment horizontal="left"/>
    </xf>
    <xf numFmtId="164" fontId="5" fillId="6" borderId="3" xfId="0" applyNumberFormat="1" applyFont="1" applyFill="1" applyBorder="1"/>
    <xf numFmtId="164" fontId="6" fillId="6" borderId="3" xfId="0" applyNumberFormat="1" applyFont="1" applyFill="1" applyBorder="1"/>
    <xf numFmtId="164" fontId="6" fillId="0" borderId="0" xfId="0" applyNumberFormat="1" applyFont="1"/>
    <xf numFmtId="164" fontId="6" fillId="6" borderId="1" xfId="0" applyNumberFormat="1" applyFont="1" applyFill="1" applyBorder="1"/>
    <xf numFmtId="164" fontId="6" fillId="0" borderId="3" xfId="0" applyNumberFormat="1" applyFont="1" applyBorder="1" applyAlignment="1">
      <alignment horizontal="left"/>
    </xf>
    <xf numFmtId="164" fontId="5" fillId="2" borderId="3" xfId="0" applyNumberFormat="1" applyFont="1" applyFill="1" applyBorder="1"/>
    <xf numFmtId="164" fontId="5" fillId="3" borderId="3" xfId="0" applyNumberFormat="1" applyFont="1" applyFill="1" applyBorder="1"/>
    <xf numFmtId="164" fontId="5" fillId="0" borderId="3" xfId="0" applyNumberFormat="1" applyFont="1" applyBorder="1"/>
    <xf numFmtId="164" fontId="5" fillId="4" borderId="3" xfId="0" applyNumberFormat="1" applyFont="1" applyFill="1" applyBorder="1"/>
    <xf numFmtId="8" fontId="5" fillId="5" borderId="3" xfId="0" applyNumberFormat="1" applyFont="1" applyFill="1" applyBorder="1"/>
    <xf numFmtId="164" fontId="9" fillId="5" borderId="3" xfId="0" applyNumberFormat="1" applyFont="1" applyFill="1" applyBorder="1"/>
    <xf numFmtId="8" fontId="5" fillId="0" borderId="3" xfId="0" applyNumberFormat="1" applyFont="1" applyBorder="1"/>
    <xf numFmtId="164" fontId="5" fillId="5" borderId="3" xfId="0" applyNumberFormat="1" applyFont="1" applyFill="1" applyBorder="1"/>
    <xf numFmtId="164" fontId="7" fillId="0" borderId="3" xfId="0" applyNumberFormat="1" applyFont="1" applyBorder="1" applyAlignment="1">
      <alignment horizontal="left"/>
    </xf>
    <xf numFmtId="164" fontId="9" fillId="2" borderId="3" xfId="0" applyNumberFormat="1" applyFont="1" applyFill="1" applyBorder="1"/>
    <xf numFmtId="8" fontId="9" fillId="2" borderId="3" xfId="0" applyNumberFormat="1" applyFont="1" applyFill="1" applyBorder="1"/>
    <xf numFmtId="164" fontId="7" fillId="6" borderId="3" xfId="0" applyNumberFormat="1" applyFont="1" applyFill="1" applyBorder="1" applyAlignment="1">
      <alignment horizontal="left"/>
    </xf>
    <xf numFmtId="8" fontId="5" fillId="2" borderId="3" xfId="0" applyNumberFormat="1" applyFont="1" applyFill="1" applyBorder="1"/>
    <xf numFmtId="49" fontId="6" fillId="6" borderId="3" xfId="0" applyNumberFormat="1" applyFont="1" applyFill="1" applyBorder="1" applyAlignment="1">
      <alignment horizontal="left"/>
    </xf>
    <xf numFmtId="0" fontId="5" fillId="6" borderId="3" xfId="0" applyFont="1" applyFill="1" applyBorder="1"/>
    <xf numFmtId="49" fontId="6" fillId="0" borderId="3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0" fontId="5" fillId="2" borderId="3" xfId="0" applyFont="1" applyFill="1" applyBorder="1"/>
    <xf numFmtId="0" fontId="5" fillId="3" borderId="3" xfId="0" applyFont="1" applyFill="1" applyBorder="1"/>
    <xf numFmtId="0" fontId="5" fillId="0" borderId="3" xfId="0" applyFont="1" applyBorder="1"/>
    <xf numFmtId="0" fontId="6" fillId="6" borderId="3" xfId="0" applyFont="1" applyFill="1" applyBorder="1"/>
    <xf numFmtId="0" fontId="6" fillId="0" borderId="6" xfId="0" applyFont="1" applyBorder="1" applyAlignment="1">
      <alignment horizontal="left"/>
    </xf>
    <xf numFmtId="164" fontId="5" fillId="0" borderId="7" xfId="0" applyNumberFormat="1" applyFont="1" applyBorder="1"/>
    <xf numFmtId="8" fontId="5" fillId="0" borderId="7" xfId="0" applyNumberFormat="1" applyFont="1" applyBorder="1"/>
    <xf numFmtId="0" fontId="6" fillId="0" borderId="0" xfId="0" applyFont="1" applyAlignment="1">
      <alignment horizontal="left"/>
    </xf>
    <xf numFmtId="0" fontId="11" fillId="0" borderId="0" xfId="0" applyFont="1" applyAlignment="1">
      <alignment wrapText="1"/>
    </xf>
    <xf numFmtId="164" fontId="9" fillId="0" borderId="3" xfId="0" applyNumberFormat="1" applyFont="1" applyBorder="1"/>
    <xf numFmtId="164" fontId="9" fillId="3" borderId="3" xfId="0" applyNumberFormat="1" applyFont="1" applyFill="1" applyBorder="1"/>
    <xf numFmtId="0" fontId="9" fillId="0" borderId="0" xfId="0" applyFont="1"/>
    <xf numFmtId="164" fontId="9" fillId="4" borderId="3" xfId="0" applyNumberFormat="1" applyFont="1" applyFill="1" applyBorder="1"/>
    <xf numFmtId="0" fontId="13" fillId="0" borderId="0" xfId="0" applyFont="1" applyAlignment="1">
      <alignment vertical="center"/>
    </xf>
    <xf numFmtId="164" fontId="6" fillId="3" borderId="0" xfId="0" applyNumberFormat="1" applyFont="1" applyFill="1" applyAlignment="1">
      <alignment wrapText="1"/>
    </xf>
    <xf numFmtId="164" fontId="6" fillId="0" borderId="0" xfId="0" applyNumberFormat="1" applyFont="1" applyAlignment="1">
      <alignment wrapText="1"/>
    </xf>
    <xf numFmtId="164" fontId="6" fillId="4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165" fontId="6" fillId="0" borderId="10" xfId="0" applyNumberFormat="1" applyFont="1" applyBorder="1" applyAlignment="1">
      <alignment horizontal="left"/>
    </xf>
    <xf numFmtId="165" fontId="5" fillId="0" borderId="10" xfId="0" applyNumberFormat="1" applyFont="1" applyBorder="1"/>
    <xf numFmtId="9" fontId="5" fillId="2" borderId="10" xfId="0" applyNumberFormat="1" applyFont="1" applyFill="1" applyBorder="1"/>
    <xf numFmtId="9" fontId="5" fillId="3" borderId="10" xfId="0" applyNumberFormat="1" applyFont="1" applyFill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5" fillId="4" borderId="10" xfId="0" applyNumberFormat="1" applyFont="1" applyFill="1" applyBorder="1" applyAlignment="1">
      <alignment horizontal="right"/>
    </xf>
    <xf numFmtId="165" fontId="9" fillId="5" borderId="10" xfId="0" applyNumberFormat="1" applyFont="1" applyFill="1" applyBorder="1"/>
    <xf numFmtId="165" fontId="9" fillId="0" borderId="10" xfId="0" applyNumberFormat="1" applyFont="1" applyBorder="1"/>
    <xf numFmtId="164" fontId="6" fillId="6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/>
    <xf numFmtId="164" fontId="5" fillId="0" borderId="11" xfId="0" applyNumberFormat="1" applyFont="1" applyBorder="1"/>
    <xf numFmtId="0" fontId="17" fillId="7" borderId="0" xfId="2" applyFont="1" applyAlignment="1">
      <alignment wrapText="1"/>
    </xf>
    <xf numFmtId="0" fontId="16" fillId="7" borderId="3" xfId="2" applyBorder="1"/>
    <xf numFmtId="0" fontId="16" fillId="7" borderId="10" xfId="2" applyBorder="1"/>
    <xf numFmtId="164" fontId="16" fillId="7" borderId="3" xfId="2" applyNumberFormat="1" applyBorder="1"/>
    <xf numFmtId="164" fontId="17" fillId="8" borderId="3" xfId="3" applyNumberFormat="1" applyFont="1" applyBorder="1"/>
    <xf numFmtId="164" fontId="7" fillId="0" borderId="0" xfId="0" applyNumberFormat="1" applyFont="1" applyAlignment="1">
      <alignment wrapText="1"/>
    </xf>
    <xf numFmtId="164" fontId="6" fillId="2" borderId="0" xfId="0" applyNumberFormat="1" applyFont="1" applyFill="1" applyAlignment="1">
      <alignment wrapText="1"/>
    </xf>
    <xf numFmtId="164" fontId="7" fillId="5" borderId="0" xfId="0" applyNumberFormat="1" applyFont="1" applyFill="1" applyAlignment="1">
      <alignment wrapText="1"/>
    </xf>
    <xf numFmtId="164" fontId="5" fillId="0" borderId="2" xfId="0" applyNumberFormat="1" applyFont="1" applyBorder="1"/>
    <xf numFmtId="0" fontId="5" fillId="0" borderId="2" xfId="0" applyFont="1" applyBorder="1"/>
    <xf numFmtId="164" fontId="7" fillId="6" borderId="3" xfId="0" applyNumberFormat="1" applyFont="1" applyFill="1" applyBorder="1"/>
    <xf numFmtId="0" fontId="17" fillId="0" borderId="0" xfId="0" applyFont="1" applyAlignment="1">
      <alignment horizontal="left"/>
    </xf>
    <xf numFmtId="0" fontId="5" fillId="10" borderId="0" xfId="0" applyFont="1" applyFill="1"/>
    <xf numFmtId="164" fontId="0" fillId="0" borderId="0" xfId="0" applyNumberFormat="1" applyAlignment="1">
      <alignment horizontal="right"/>
    </xf>
    <xf numFmtId="164" fontId="0" fillId="9" borderId="0" xfId="0" applyNumberFormat="1" applyFill="1" applyAlignment="1">
      <alignment horizontal="right"/>
    </xf>
    <xf numFmtId="165" fontId="2" fillId="3" borderId="10" xfId="0" applyNumberFormat="1" applyFont="1" applyFill="1" applyBorder="1"/>
    <xf numFmtId="9" fontId="2" fillId="3" borderId="10" xfId="0" applyNumberFormat="1" applyFont="1" applyFill="1" applyBorder="1" applyAlignment="1">
      <alignment horizontal="right"/>
    </xf>
    <xf numFmtId="49" fontId="1" fillId="3" borderId="1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1" applyAlignment="1">
      <alignment horizontal="center" vertical="center" wrapText="1"/>
    </xf>
    <xf numFmtId="0" fontId="10" fillId="0" borderId="0" xfId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4">
    <cellStyle name="20% - Accent6" xfId="2" builtinId="50"/>
    <cellStyle name="40% - Accent3" xfId="3" builtinId="39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6600"/>
      <color rgb="FFFF33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ine.gov/ag/docs/Maine%20Subdivision%202022%20Memorandum%20of%20Understanding%20Regarding%20Opioid%20Settlement%20Fund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8C8B-D83B-4E48-92AE-0FA9B9216A99}">
  <sheetPr>
    <pageSetUpPr fitToPage="1"/>
  </sheetPr>
  <dimension ref="A1:BJ567"/>
  <sheetViews>
    <sheetView showGridLines="0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X11" sqref="AX11"/>
    </sheetView>
  </sheetViews>
  <sheetFormatPr defaultColWidth="8.7109375" defaultRowHeight="15" x14ac:dyDescent="0.25"/>
  <cols>
    <col min="1" max="1" width="16.5703125" style="1" customWidth="1"/>
    <col min="2" max="2" width="17.85546875" style="1" customWidth="1"/>
    <col min="3" max="4" width="23.7109375" style="1" customWidth="1"/>
    <col min="5" max="5" width="24" style="1" customWidth="1"/>
    <col min="6" max="6" width="25.7109375" style="1" customWidth="1"/>
    <col min="7" max="9" width="23.7109375" style="1" customWidth="1"/>
    <col min="10" max="48" width="16.7109375" style="1" customWidth="1"/>
    <col min="49" max="49" width="21.140625" style="1" customWidth="1"/>
    <col min="50" max="50" width="32.28515625" style="1" customWidth="1"/>
    <col min="51" max="51" width="17.28515625" style="1" customWidth="1"/>
    <col min="52" max="52" width="14.28515625" customWidth="1"/>
    <col min="53" max="53" width="16.7109375" style="69" customWidth="1"/>
    <col min="54" max="54" width="16.7109375" style="70" customWidth="1"/>
    <col min="55" max="55" width="20.140625" style="68" customWidth="1"/>
    <col min="56" max="56" width="15" style="1" customWidth="1"/>
    <col min="57" max="57" width="25.28515625" style="1" customWidth="1"/>
    <col min="58" max="58" width="24.7109375" style="1" customWidth="1"/>
    <col min="59" max="59" width="23.5703125" style="1" customWidth="1"/>
    <col min="60" max="60" width="25.7109375" style="1" customWidth="1"/>
    <col min="61" max="61" width="26" style="1" customWidth="1"/>
    <col min="63" max="16384" width="8.7109375" style="1"/>
  </cols>
  <sheetData>
    <row r="1" spans="1:62" ht="51" customHeight="1" x14ac:dyDescent="0.25">
      <c r="C1" s="75" t="s">
        <v>79</v>
      </c>
      <c r="D1" s="75"/>
      <c r="E1" s="75"/>
      <c r="F1" s="75"/>
      <c r="G1" s="39"/>
      <c r="L1" s="74" t="s">
        <v>62</v>
      </c>
      <c r="M1" s="74"/>
      <c r="N1" s="74"/>
      <c r="O1" s="74"/>
      <c r="AY1"/>
      <c r="AZ1" s="1"/>
      <c r="BA1" s="1"/>
      <c r="BB1" s="1"/>
      <c r="BC1" s="1"/>
      <c r="BJ1" s="1"/>
    </row>
    <row r="2" spans="1:62" ht="38.25" customHeight="1" x14ac:dyDescent="0.25">
      <c r="A2" s="76" t="s">
        <v>110</v>
      </c>
      <c r="B2" s="77"/>
      <c r="H2" s="78" t="s">
        <v>0</v>
      </c>
      <c r="I2" s="78"/>
      <c r="J2" s="78"/>
      <c r="K2" s="79" t="s">
        <v>63</v>
      </c>
      <c r="L2" s="79"/>
      <c r="M2" s="79"/>
      <c r="P2" s="34"/>
      <c r="AY2"/>
      <c r="AZ2" s="1"/>
      <c r="BA2" s="1"/>
      <c r="BB2" s="1"/>
      <c r="BC2" s="1"/>
      <c r="BJ2" s="1"/>
    </row>
    <row r="3" spans="1:62" s="43" customFormat="1" ht="60.75" customHeight="1" x14ac:dyDescent="0.25">
      <c r="C3" s="62" t="s">
        <v>1</v>
      </c>
      <c r="D3" s="56" t="s">
        <v>83</v>
      </c>
      <c r="E3" s="40" t="s">
        <v>2</v>
      </c>
      <c r="F3" s="40" t="s">
        <v>3</v>
      </c>
      <c r="G3" s="40" t="s">
        <v>4</v>
      </c>
      <c r="H3" s="41" t="s">
        <v>5</v>
      </c>
      <c r="I3" s="42" t="s">
        <v>6</v>
      </c>
      <c r="J3" s="63" t="s">
        <v>7</v>
      </c>
      <c r="K3" s="61" t="s">
        <v>8</v>
      </c>
      <c r="L3" s="63" t="s">
        <v>9</v>
      </c>
      <c r="M3" s="61" t="s">
        <v>48</v>
      </c>
      <c r="N3" s="63" t="s">
        <v>10</v>
      </c>
      <c r="O3" s="61" t="s">
        <v>49</v>
      </c>
      <c r="P3" s="63" t="s">
        <v>11</v>
      </c>
      <c r="Q3" s="61" t="s">
        <v>50</v>
      </c>
      <c r="R3" s="63" t="s">
        <v>12</v>
      </c>
      <c r="S3" s="61" t="s">
        <v>13</v>
      </c>
      <c r="T3" s="63" t="s">
        <v>14</v>
      </c>
      <c r="U3" s="61" t="s">
        <v>15</v>
      </c>
      <c r="V3" s="63" t="s">
        <v>16</v>
      </c>
      <c r="W3" s="61" t="s">
        <v>17</v>
      </c>
      <c r="X3" s="63" t="s">
        <v>18</v>
      </c>
      <c r="Y3" s="61" t="s">
        <v>19</v>
      </c>
      <c r="Z3" s="63" t="s">
        <v>20</v>
      </c>
      <c r="AA3" s="61" t="s">
        <v>51</v>
      </c>
      <c r="AB3" s="63" t="s">
        <v>21</v>
      </c>
      <c r="AC3" s="61" t="s">
        <v>52</v>
      </c>
      <c r="AD3" s="63" t="s">
        <v>22</v>
      </c>
      <c r="AE3" s="61" t="s">
        <v>53</v>
      </c>
      <c r="AF3" s="63" t="s">
        <v>23</v>
      </c>
      <c r="AG3" s="61" t="s">
        <v>24</v>
      </c>
      <c r="AH3" s="63" t="s">
        <v>54</v>
      </c>
      <c r="AI3" s="61" t="s">
        <v>55</v>
      </c>
      <c r="AJ3" s="63" t="s">
        <v>56</v>
      </c>
      <c r="AK3" s="61" t="s">
        <v>57</v>
      </c>
      <c r="AL3" s="63" t="s">
        <v>58</v>
      </c>
      <c r="AM3" s="61" t="s">
        <v>25</v>
      </c>
      <c r="AN3" s="63" t="s">
        <v>26</v>
      </c>
      <c r="AO3" s="61" t="s">
        <v>59</v>
      </c>
      <c r="AP3" s="63" t="s">
        <v>60</v>
      </c>
      <c r="AQ3" s="61" t="s">
        <v>61</v>
      </c>
      <c r="AR3" s="63" t="s">
        <v>27</v>
      </c>
      <c r="AS3" s="61" t="s">
        <v>28</v>
      </c>
      <c r="AT3" s="63" t="s">
        <v>29</v>
      </c>
      <c r="AU3" s="61" t="s">
        <v>30</v>
      </c>
      <c r="AV3" s="63" t="s">
        <v>31</v>
      </c>
      <c r="AW3" s="44" t="s">
        <v>32</v>
      </c>
    </row>
    <row r="4" spans="1:62" ht="15.75" thickBot="1" x14ac:dyDescent="0.3">
      <c r="A4" s="45"/>
      <c r="B4" s="46"/>
      <c r="C4" s="47">
        <v>1</v>
      </c>
      <c r="D4" s="58" t="s">
        <v>84</v>
      </c>
      <c r="E4" s="48" t="s">
        <v>33</v>
      </c>
      <c r="F4" s="73" t="s">
        <v>112</v>
      </c>
      <c r="G4" s="72" t="s">
        <v>34</v>
      </c>
      <c r="H4" s="49" t="s">
        <v>81</v>
      </c>
      <c r="I4" s="50" t="s">
        <v>82</v>
      </c>
      <c r="J4" s="51">
        <v>1.6799535986000001E-2</v>
      </c>
      <c r="K4" s="52">
        <v>4.0537116217999998E-2</v>
      </c>
      <c r="L4" s="51">
        <v>2.6283332826000001E-2</v>
      </c>
      <c r="M4" s="52">
        <v>3.6779545806999998E-2</v>
      </c>
      <c r="N4" s="51">
        <v>5.2042873123000002E-2</v>
      </c>
      <c r="O4" s="52">
        <v>2.73939973E-2</v>
      </c>
      <c r="P4" s="51">
        <v>1.6113929260999998E-2</v>
      </c>
      <c r="Q4" s="52">
        <v>8.3690495039999997E-3</v>
      </c>
      <c r="R4" s="51">
        <v>3.5025701951E-2</v>
      </c>
      <c r="S4" s="52">
        <v>1.2353278939E-2</v>
      </c>
      <c r="T4" s="51">
        <v>1.9717572454E-2</v>
      </c>
      <c r="U4" s="52">
        <v>1.4582940317E-2</v>
      </c>
      <c r="V4" s="51">
        <v>3.8494340111000003E-2</v>
      </c>
      <c r="W4" s="52">
        <v>4.9959268384999998E-2</v>
      </c>
      <c r="X4" s="51">
        <v>2.1856790490000001E-3</v>
      </c>
      <c r="Y4" s="52">
        <v>2.1010369789000002E-2</v>
      </c>
      <c r="Z4" s="51">
        <v>4.3451006968E-2</v>
      </c>
      <c r="AA4" s="52">
        <v>2.1621727981E-2</v>
      </c>
      <c r="AB4" s="51">
        <v>2.0941808299999999E-3</v>
      </c>
      <c r="AC4" s="52">
        <v>3.8454418781999997E-2</v>
      </c>
      <c r="AD4" s="51">
        <v>6.7801027597000005E-2</v>
      </c>
      <c r="AE4" s="52">
        <v>1.2760851978000001E-2</v>
      </c>
      <c r="AF4" s="51">
        <v>7.2016026248999998E-2</v>
      </c>
      <c r="AG4" s="52">
        <v>6.1843980030000002E-3</v>
      </c>
      <c r="AH4" s="51">
        <v>4.3665182379999997E-3</v>
      </c>
      <c r="AI4" s="52">
        <v>1.9708146889000001E-2</v>
      </c>
      <c r="AJ4" s="51">
        <v>2.6908215844000001E-2</v>
      </c>
      <c r="AK4" s="52">
        <v>1.8363769929999999E-2</v>
      </c>
      <c r="AL4" s="51">
        <v>3.6977198466999997E-2</v>
      </c>
      <c r="AM4" s="52">
        <v>2.2275994495E-2</v>
      </c>
      <c r="AN4" s="51">
        <v>6.64145731E-4</v>
      </c>
      <c r="AO4" s="52">
        <v>2.4723925078E-2</v>
      </c>
      <c r="AP4" s="51">
        <v>2.6998574468999999E-2</v>
      </c>
      <c r="AQ4" s="52">
        <v>2.8132809687999999E-2</v>
      </c>
      <c r="AR4" s="51">
        <v>2.5413117290000002E-3</v>
      </c>
      <c r="AS4" s="52">
        <v>1.5416150466999999E-2</v>
      </c>
      <c r="AT4" s="51">
        <v>1.935482073E-3</v>
      </c>
      <c r="AU4" s="52">
        <v>6.7950503019000005E-2</v>
      </c>
      <c r="AV4" s="51">
        <v>2.1005084476E-2</v>
      </c>
      <c r="AW4" s="71" t="s">
        <v>111</v>
      </c>
      <c r="AX4" s="46"/>
      <c r="AY4"/>
      <c r="AZ4" s="1"/>
      <c r="BA4" s="1"/>
      <c r="BB4" s="1"/>
      <c r="BC4" s="1"/>
      <c r="BJ4" s="1"/>
    </row>
    <row r="5" spans="1:62" x14ac:dyDescent="0.25">
      <c r="A5" s="53" t="s">
        <v>35</v>
      </c>
      <c r="B5" s="54"/>
      <c r="C5" s="7">
        <f>SUM(C6:C8)</f>
        <v>28778697.418659117</v>
      </c>
      <c r="D5" s="7">
        <f t="shared" ref="D5:AW5" si="0">SUM(D6:D8)</f>
        <v>0</v>
      </c>
      <c r="E5" s="7">
        <f t="shared" si="0"/>
        <v>14389348.709329559</v>
      </c>
      <c r="F5" s="7">
        <f t="shared" si="0"/>
        <v>5755739.4837318268</v>
      </c>
      <c r="G5" s="7">
        <f t="shared" si="0"/>
        <v>8633609.2255977355</v>
      </c>
      <c r="H5" s="7">
        <f t="shared" si="0"/>
        <v>604352.64579184155</v>
      </c>
      <c r="I5" s="7">
        <f t="shared" si="0"/>
        <v>8029256.5798058938</v>
      </c>
      <c r="J5" s="7">
        <f t="shared" si="0"/>
        <v>134887.78485327639</v>
      </c>
      <c r="K5" s="7">
        <f t="shared" si="0"/>
        <v>325482.9071197327</v>
      </c>
      <c r="L5" s="7">
        <f t="shared" si="0"/>
        <v>211035.62303238877</v>
      </c>
      <c r="M5" s="7">
        <f t="shared" si="0"/>
        <v>156423.67497511613</v>
      </c>
      <c r="N5" s="7">
        <f t="shared" si="0"/>
        <v>417865.58145485108</v>
      </c>
      <c r="O5" s="7">
        <f t="shared" si="0"/>
        <v>116506.86912802661</v>
      </c>
      <c r="P5" s="7">
        <f t="shared" si="0"/>
        <v>129382.87254541097</v>
      </c>
      <c r="Q5" s="7">
        <f t="shared" si="0"/>
        <v>35593.628217540339</v>
      </c>
      <c r="R5" s="7">
        <f t="shared" si="0"/>
        <v>281230.34785238688</v>
      </c>
      <c r="S5" s="7">
        <f t="shared" si="0"/>
        <v>99187.646203143318</v>
      </c>
      <c r="T5" s="7">
        <f t="shared" si="0"/>
        <v>158317.44836407894</v>
      </c>
      <c r="U5" s="7">
        <f t="shared" si="0"/>
        <v>117090.16949318891</v>
      </c>
      <c r="V5" s="7">
        <f t="shared" si="0"/>
        <v>309080.93362153275</v>
      </c>
      <c r="W5" s="7">
        <f t="shared" si="0"/>
        <v>401135.78440254985</v>
      </c>
      <c r="X5" s="7">
        <f t="shared" si="0"/>
        <v>17549.377885527138</v>
      </c>
      <c r="Y5" s="7">
        <f t="shared" si="0"/>
        <v>168697.64987248322</v>
      </c>
      <c r="Z5" s="7">
        <f t="shared" si="0"/>
        <v>348879.28359700576</v>
      </c>
      <c r="AA5" s="7">
        <f t="shared" si="0"/>
        <v>91957.365864388034</v>
      </c>
      <c r="AB5" s="7">
        <f t="shared" si="0"/>
        <v>16814.715208580867</v>
      </c>
      <c r="AC5" s="7">
        <f t="shared" si="0"/>
        <v>163546.92188090424</v>
      </c>
      <c r="AD5" s="7">
        <f t="shared" si="0"/>
        <v>544391.84695081331</v>
      </c>
      <c r="AE5" s="7">
        <f t="shared" si="0"/>
        <v>54271.995980775158</v>
      </c>
      <c r="AF5" s="7">
        <f t="shared" si="0"/>
        <v>578235.15261125716</v>
      </c>
      <c r="AG5" s="7">
        <f t="shared" si="0"/>
        <v>49656.118357726184</v>
      </c>
      <c r="AH5" s="7">
        <f t="shared" si="0"/>
        <v>18570.83372421181</v>
      </c>
      <c r="AI5" s="7">
        <f t="shared" si="0"/>
        <v>83818.891606324556</v>
      </c>
      <c r="AJ5" s="7">
        <f t="shared" si="0"/>
        <v>114440.83707366066</v>
      </c>
      <c r="AK5" s="7">
        <f t="shared" si="0"/>
        <v>78101.24665273659</v>
      </c>
      <c r="AL5" s="7">
        <f t="shared" si="0"/>
        <v>157264.29317111141</v>
      </c>
      <c r="AM5" s="7">
        <f t="shared" si="0"/>
        <v>178859.67537069862</v>
      </c>
      <c r="AN5" s="7">
        <f t="shared" si="0"/>
        <v>5332.5964805817457</v>
      </c>
      <c r="AO5" s="7">
        <f t="shared" si="0"/>
        <v>105151.03260938413</v>
      </c>
      <c r="AP5" s="7">
        <f t="shared" si="0"/>
        <v>114825.13296090101</v>
      </c>
      <c r="AQ5" s="7">
        <f t="shared" si="0"/>
        <v>119649.04357070572</v>
      </c>
      <c r="AR5" s="7">
        <f t="shared" si="0"/>
        <v>20404.843921411146</v>
      </c>
      <c r="AS5" s="7">
        <f t="shared" si="0"/>
        <v>123780.22757243745</v>
      </c>
      <c r="AT5" s="7">
        <f t="shared" si="0"/>
        <v>15540.482169731602</v>
      </c>
      <c r="AU5" s="7">
        <f t="shared" si="0"/>
        <v>545592.02346642606</v>
      </c>
      <c r="AV5" s="7">
        <f t="shared" si="0"/>
        <v>168655.21273830163</v>
      </c>
      <c r="AW5" s="7">
        <f t="shared" si="0"/>
        <v>431680.46127988672</v>
      </c>
      <c r="AX5" s="6"/>
      <c r="AY5"/>
      <c r="AZ5" s="1"/>
      <c r="BA5" s="1"/>
      <c r="BB5" s="1"/>
      <c r="BC5" s="1"/>
      <c r="BJ5" s="1"/>
    </row>
    <row r="6" spans="1:62" x14ac:dyDescent="0.25">
      <c r="A6" s="17"/>
      <c r="B6" s="17" t="s">
        <v>39</v>
      </c>
      <c r="C6" s="18">
        <v>18046591.778429095</v>
      </c>
      <c r="D6" s="57"/>
      <c r="E6" s="10">
        <f>0.5*(C6)</f>
        <v>9023295.8892145474</v>
      </c>
      <c r="F6" s="36">
        <v>3609318.3556858189</v>
      </c>
      <c r="G6" s="10">
        <f>0.3*C6</f>
        <v>5413977.5335287284</v>
      </c>
      <c r="H6" s="35">
        <f>0.07*G6</f>
        <v>378978.42734701105</v>
      </c>
      <c r="I6" s="12">
        <f t="shared" ref="I6" si="1">G6-H6</f>
        <v>5034999.1061817175</v>
      </c>
      <c r="J6" s="13">
        <f>I6*0.016799535986</f>
        <v>84585.648673777599</v>
      </c>
      <c r="K6" s="11">
        <f>I6*0.040537116218</f>
        <v>204104.3439248144</v>
      </c>
      <c r="L6" s="14">
        <f>I6*0.026283332826</f>
        <v>132336.55728638661</v>
      </c>
      <c r="M6" s="15">
        <f>(I6*0.036779545807)/4</f>
        <v>46296.245066003634</v>
      </c>
      <c r="N6" s="16">
        <f>I6*0.052042873123</f>
        <v>262035.81965743355</v>
      </c>
      <c r="O6" s="15">
        <f>(I6*0.0273939973)/4</f>
        <v>34482.187980061099</v>
      </c>
      <c r="P6" s="14">
        <f t="shared" ref="P6" si="2">I6*0.016113929261</f>
        <v>81133.619426210411</v>
      </c>
      <c r="Q6" s="15">
        <f>(I6*0.008369049504)/4</f>
        <v>10534.539193057635</v>
      </c>
      <c r="R6" s="14">
        <f>I6*0.035025701951</f>
        <v>176354.37801667224</v>
      </c>
      <c r="S6" s="15">
        <f>I6*0.012353278939</f>
        <v>62198.748416278431</v>
      </c>
      <c r="T6" s="14">
        <f>I6*0.019717572454</f>
        <v>99277.959681963257</v>
      </c>
      <c r="U6" s="15">
        <f>I6*0.014582940317</f>
        <v>73425.091461596327</v>
      </c>
      <c r="V6" s="14">
        <f>I6*0.038494340111</f>
        <v>193818.96805194006</v>
      </c>
      <c r="W6" s="15">
        <f>I6*0.049959268385</f>
        <v>251544.87166396753</v>
      </c>
      <c r="X6" s="14">
        <f>I6*0.002185679049</f>
        <v>11004.892058115107</v>
      </c>
      <c r="Y6" s="15">
        <f>I6*0.021010369789</f>
        <v>105787.19310816236</v>
      </c>
      <c r="Z6" s="14">
        <f>I6*0.043451006968</f>
        <v>218775.78124657559</v>
      </c>
      <c r="AA6" s="15">
        <f>(I6*0.021621727981)/4</f>
        <v>27216.345264609809</v>
      </c>
      <c r="AB6" s="14">
        <f>I6*0.00209418083</f>
        <v>10544.198607232887</v>
      </c>
      <c r="AC6" s="15">
        <f>(I6*0.038454418782)/4</f>
        <v>48404.491049026859</v>
      </c>
      <c r="AD6" s="14">
        <f>I6*0.067801027597</f>
        <v>341378.11334909697</v>
      </c>
      <c r="AE6" s="15">
        <f>(I6*0.012760851978)/4</f>
        <v>16062.719575836802</v>
      </c>
      <c r="AF6" s="14">
        <f>I6*0.072016026249</f>
        <v>362600.62779447407</v>
      </c>
      <c r="AG6" s="15">
        <f>I6*0.006184398003</f>
        <v>31138.438417377001</v>
      </c>
      <c r="AH6" s="15">
        <f>(I6*0.004366518238)/4</f>
        <v>5496.3538563640413</v>
      </c>
      <c r="AI6" s="2">
        <f>(I6*0.019708146889)/4</f>
        <v>24807.625492653249</v>
      </c>
      <c r="AJ6" s="14">
        <f>(I6*0.026908215844)/4</f>
        <v>33870.710680871183</v>
      </c>
      <c r="AK6" s="15">
        <f>(I6*0.01836376993)/4</f>
        <v>23115.391295919173</v>
      </c>
      <c r="AL6" s="14">
        <f>(I6*0.036977198467)/4</f>
        <v>46545.040307612238</v>
      </c>
      <c r="AM6" s="15">
        <f>I6*0.022275994495</f>
        <v>112159.61237163386</v>
      </c>
      <c r="AN6" s="14">
        <f>I6*0.000664145731</f>
        <v>3343.9731619594036</v>
      </c>
      <c r="AO6" s="15">
        <f>(I6*0.024723925078)/4</f>
        <v>31121.235167258437</v>
      </c>
      <c r="AP6" s="14">
        <f>(I6*0.026998574469)/4</f>
        <v>33984.449579898886</v>
      </c>
      <c r="AQ6" s="15">
        <f>(I6*0.028132809688)/4</f>
        <v>35412.167908365089</v>
      </c>
      <c r="AR6" s="14">
        <f>I6*0.002541311729</f>
        <v>12795.502284044116</v>
      </c>
      <c r="AS6" s="15">
        <f>I6*0.015416150467</f>
        <v>77620.30382210786</v>
      </c>
      <c r="AT6" s="14">
        <f>I6*0.001935482073</f>
        <v>9745.1505075857385</v>
      </c>
      <c r="AU6" s="15">
        <f>I6*0.067950503019</f>
        <v>342130.72196526313</v>
      </c>
      <c r="AV6" s="14">
        <f>I6*0.021005084476</f>
        <v>105760.58156193147</v>
      </c>
      <c r="AW6" s="10">
        <f>0.03*E6</f>
        <v>270698.8766764364</v>
      </c>
      <c r="AX6" s="6"/>
      <c r="AY6"/>
      <c r="AZ6" s="1"/>
      <c r="BA6" s="1"/>
      <c r="BB6" s="1"/>
      <c r="BC6" s="1"/>
      <c r="BJ6" s="1"/>
    </row>
    <row r="7" spans="1:62" x14ac:dyDescent="0.25">
      <c r="A7" s="8"/>
      <c r="B7" s="8" t="s">
        <v>85</v>
      </c>
      <c r="C7" s="9">
        <v>5033678.7973427856</v>
      </c>
      <c r="D7" s="57"/>
      <c r="E7" s="10">
        <f>0.5*(C7)</f>
        <v>2516839.3986713928</v>
      </c>
      <c r="F7" s="10">
        <v>1006735.75946856</v>
      </c>
      <c r="G7" s="10">
        <f>0.3*C7</f>
        <v>1510103.6392028357</v>
      </c>
      <c r="H7" s="35">
        <f t="shared" ref="H7:H8" si="3">0.07*G7</f>
        <v>105707.25474419851</v>
      </c>
      <c r="I7" s="12">
        <f>G7-H7</f>
        <v>1404396.3844586373</v>
      </c>
      <c r="J7" s="13">
        <f>I7*0.016799535986</f>
        <v>23593.207599321169</v>
      </c>
      <c r="K7" s="11">
        <f>I7*0.040537116218</f>
        <v>56930.179452938784</v>
      </c>
      <c r="L7" s="14">
        <f>I7*0.026283332826</f>
        <v>36912.217592357418</v>
      </c>
      <c r="M7" s="15">
        <f>I7*0.036779545807</f>
        <v>51653.061153381634</v>
      </c>
      <c r="N7" s="16">
        <f>I7*0.052042873123</f>
        <v>73088.822850780794</v>
      </c>
      <c r="O7" s="15">
        <f>I7*0.0273939973</f>
        <v>38472.030763989671</v>
      </c>
      <c r="P7" s="14">
        <f>I7*0.016113929261</f>
        <v>22630.343993570641</v>
      </c>
      <c r="Q7" s="15">
        <f>I7*0.008369049504</f>
        <v>11753.462864772951</v>
      </c>
      <c r="R7" s="14">
        <f>I7*0.035025701951</f>
        <v>49189.969183110239</v>
      </c>
      <c r="S7" s="15">
        <f>I7*0.012353278939</f>
        <v>17348.900278140631</v>
      </c>
      <c r="T7" s="14">
        <f>I7*0.019717572454</f>
        <v>27691.28746469882</v>
      </c>
      <c r="U7" s="15">
        <f>I7*0.014582940317</f>
        <v>20480.228655970895</v>
      </c>
      <c r="V7" s="14">
        <f>I7*0.038494340111</f>
        <v>54061.312074009504</v>
      </c>
      <c r="W7" s="15">
        <f>I7*0.049959268385</f>
        <v>70162.615890092697</v>
      </c>
      <c r="X7" s="14">
        <f>I7*0.002185679049</f>
        <v>3069.5597540025929</v>
      </c>
      <c r="Y7" s="15">
        <f>I7*0.021010369789</f>
        <v>29506.887367810585</v>
      </c>
      <c r="Z7" s="14">
        <f>I7*0.043451006968</f>
        <v>61022.437086946258</v>
      </c>
      <c r="AA7" s="15">
        <f>I7*0.021621727981</f>
        <v>30365.476602264553</v>
      </c>
      <c r="AB7" s="14">
        <f>I7*0.00209418083</f>
        <v>2941.0599860545881</v>
      </c>
      <c r="AC7" s="15">
        <f>I7*0.038454418782</f>
        <v>54005.246703899109</v>
      </c>
      <c r="AD7" s="14">
        <f>I7*0.067801027597</f>
        <v>95219.518019807103</v>
      </c>
      <c r="AE7" s="15">
        <f>I7*0.012760851978</f>
        <v>17921.29438051505</v>
      </c>
      <c r="AF7" s="14">
        <f>I7*0.072016026249</f>
        <v>101139.04688717391</v>
      </c>
      <c r="AG7" s="15">
        <f>I7*0.006184398003</f>
        <v>8685.3461954664181</v>
      </c>
      <c r="AH7" s="15">
        <f>I7*0.004366518238</f>
        <v>6132.3224261198993</v>
      </c>
      <c r="AI7" s="11">
        <f>I7*0.019708146889</f>
        <v>27678.050235291343</v>
      </c>
      <c r="AJ7" s="14">
        <f>I7*0.026908215844</f>
        <v>37789.80104354622</v>
      </c>
      <c r="AK7" s="15">
        <f>I7*0.01836376993</f>
        <v>25790.012094722242</v>
      </c>
      <c r="AL7" s="14">
        <f>I7*0.036977198467</f>
        <v>51930.643834464259</v>
      </c>
      <c r="AM7" s="15">
        <f>I7*0.022275994495</f>
        <v>31284.326128998509</v>
      </c>
      <c r="AN7" s="14">
        <f>I7*0.000664145731</f>
        <v>932.72386337003877</v>
      </c>
      <c r="AO7" s="15">
        <f>I7*0.024723925078</f>
        <v>34722.19098916943</v>
      </c>
      <c r="AP7" s="14">
        <f>I7*0.026998574469</f>
        <v>37916.70036980087</v>
      </c>
      <c r="AQ7" s="15">
        <f>I7*0.028132809688</f>
        <v>39509.616210490123</v>
      </c>
      <c r="AR7" s="14">
        <f>I7*0.002541311729</f>
        <v>3569.0090039899287</v>
      </c>
      <c r="AS7" s="15">
        <f>I7*0.015416150467</f>
        <v>21650.385978125134</v>
      </c>
      <c r="AT7" s="14">
        <f>I7*0.001935482073</f>
        <v>2718.1840255057082</v>
      </c>
      <c r="AU7" s="15">
        <f>I7*0.067950503019</f>
        <v>95429.440762029335</v>
      </c>
      <c r="AV7" s="14">
        <f>I7*0.021005084476</f>
        <v>29499.464693342652</v>
      </c>
      <c r="AW7" s="10">
        <f>0.03*E7</f>
        <v>75505.181960141781</v>
      </c>
      <c r="AY7"/>
      <c r="AZ7" s="1"/>
      <c r="BA7" s="1"/>
      <c r="BB7" s="1"/>
      <c r="BC7" s="1"/>
      <c r="BJ7" s="1"/>
    </row>
    <row r="8" spans="1:62" x14ac:dyDescent="0.25">
      <c r="A8" s="8"/>
      <c r="B8" s="8" t="s">
        <v>86</v>
      </c>
      <c r="C8" s="9">
        <v>5698426.8428872367</v>
      </c>
      <c r="D8" s="57"/>
      <c r="E8" s="10">
        <f t="shared" ref="E8" si="4">0.5*(C8)</f>
        <v>2849213.4214436184</v>
      </c>
      <c r="F8" s="10">
        <v>1139685.3685774475</v>
      </c>
      <c r="G8" s="10">
        <f t="shared" ref="G8" si="5">0.3*C8</f>
        <v>1709528.0528661709</v>
      </c>
      <c r="H8" s="35">
        <f t="shared" si="3"/>
        <v>119666.96370063197</v>
      </c>
      <c r="I8" s="12">
        <f>G8-H8</f>
        <v>1589861.089165539</v>
      </c>
      <c r="J8" s="13">
        <f t="shared" ref="J8" si="6">I8*0.016799535986</f>
        <v>26708.928580177628</v>
      </c>
      <c r="K8" s="11">
        <f t="shared" ref="K8:K72" si="7">I8*0.040537116218</f>
        <v>64448.383741979509</v>
      </c>
      <c r="L8" s="14">
        <f t="shared" ref="L8:L72" si="8">I8*0.026283332826</f>
        <v>41786.848153644729</v>
      </c>
      <c r="M8" s="15">
        <f t="shared" ref="M8" si="9">I8*0.036779545807</f>
        <v>58474.368755730851</v>
      </c>
      <c r="N8" s="16">
        <f t="shared" ref="N8:N72" si="10">I8*0.052042873123</f>
        <v>82740.938946636743</v>
      </c>
      <c r="O8" s="15">
        <f t="shared" ref="O8:O72" si="11">I8*0.0273939973</f>
        <v>43552.650383975837</v>
      </c>
      <c r="P8" s="14">
        <f>I8*0.016113929261</f>
        <v>25618.909125629907</v>
      </c>
      <c r="Q8" s="15">
        <f t="shared" ref="Q8:Q72" si="12">I8*0.008369049504</f>
        <v>13305.626159709753</v>
      </c>
      <c r="R8" s="14">
        <f t="shared" ref="R8:R72" si="13">I8*0.035025701951</f>
        <v>55686.000652604409</v>
      </c>
      <c r="S8" s="15">
        <f t="shared" ref="S8:S72" si="14">I8*0.012353278939</f>
        <v>19639.997508724253</v>
      </c>
      <c r="T8" s="14">
        <f t="shared" ref="T8:T72" si="15">I8*0.019717572454</f>
        <v>31348.20121741687</v>
      </c>
      <c r="U8" s="15">
        <f t="shared" ref="U8:U72" si="16">I8*0.014582940317</f>
        <v>23184.84937562167</v>
      </c>
      <c r="V8" s="14">
        <f t="shared" ref="V8:V72" si="17">I8*0.038494340111</f>
        <v>61200.653495583159</v>
      </c>
      <c r="W8" s="15">
        <f t="shared" ref="W8:W72" si="18">I8*0.049959268385</f>
        <v>79428.296848489583</v>
      </c>
      <c r="X8" s="14">
        <f t="shared" ref="X8" si="19">I8*0.002185679049</f>
        <v>3474.9260734094396</v>
      </c>
      <c r="Y8" s="15">
        <f t="shared" ref="Y8:Y72" si="20">I8*0.021010369789</f>
        <v>33403.569396510276</v>
      </c>
      <c r="Z8" s="14">
        <f t="shared" ref="Z8:Z72" si="21">I8*0.043451006968</f>
        <v>69081.065263483906</v>
      </c>
      <c r="AA8" s="15">
        <f t="shared" ref="AA8:AA72" si="22">I8*0.021621727981</f>
        <v>34375.543997513669</v>
      </c>
      <c r="AB8" s="14">
        <f t="shared" ref="AB8" si="23">I8*0.00209418083</f>
        <v>3329.4566152933921</v>
      </c>
      <c r="AC8" s="15">
        <f t="shared" ref="AC8:AC72" si="24">I8*0.038454418782</f>
        <v>61137.184127978275</v>
      </c>
      <c r="AD8" s="14">
        <f t="shared" ref="AD8:AD72" si="25">I8*0.067801027597</f>
        <v>107794.2155819092</v>
      </c>
      <c r="AE8" s="15">
        <f t="shared" ref="AE8:AE72" si="26">I8*0.012760851978</f>
        <v>20287.982024423305</v>
      </c>
      <c r="AF8" s="14">
        <f t="shared" ref="AF8:AF72" si="27">I8*0.072016026249</f>
        <v>114495.47792960919</v>
      </c>
      <c r="AG8" s="15">
        <f t="shared" ref="AG8:AG72" si="28">I8*0.006184398003</f>
        <v>9832.3337448827642</v>
      </c>
      <c r="AH8" s="15">
        <f t="shared" ref="AH8:AH72" si="29">I8*0.004366518238</f>
        <v>6942.1574417278698</v>
      </c>
      <c r="AI8" s="11">
        <f t="shared" ref="AI8:AI72" si="30">I8*0.019708146889</f>
        <v>31333.215878379971</v>
      </c>
      <c r="AJ8" s="14">
        <f t="shared" ref="AJ8:AJ72" si="31">I8*0.026908215844</f>
        <v>42780.325349243256</v>
      </c>
      <c r="AK8" s="15">
        <f t="shared" ref="AK8:AK72" si="32">I8*0.01836376993</f>
        <v>29195.843262095172</v>
      </c>
      <c r="AL8" s="14">
        <f t="shared" ref="AL8:AL72" si="33">I8*0.036977198467</f>
        <v>58788.609029034917</v>
      </c>
      <c r="AM8" s="15">
        <f t="shared" ref="AM8:AM72" si="34">I8*0.022275994495</f>
        <v>35415.736870066248</v>
      </c>
      <c r="AN8" s="14">
        <f t="shared" ref="AN8:AN72" si="35">I8*0.000664145731</f>
        <v>1055.8994552523031</v>
      </c>
      <c r="AO8" s="15">
        <f t="shared" ref="AO8:AO72" si="36">I8*0.024723925078</f>
        <v>39307.606452956265</v>
      </c>
      <c r="AP8" s="14">
        <f t="shared" ref="AP8:AP72" si="37">I8*0.026998574469</f>
        <v>42923.983011201257</v>
      </c>
      <c r="AQ8" s="15">
        <f t="shared" ref="AQ8:AQ72" si="38">I8*0.028132809688</f>
        <v>44727.259451850507</v>
      </c>
      <c r="AR8" s="14">
        <f t="shared" ref="AR8:AR72" si="39">I8*0.002541311729</f>
        <v>4040.3326333770997</v>
      </c>
      <c r="AS8" s="15">
        <f t="shared" ref="AS8:AS72" si="40">I8*0.015416150467</f>
        <v>24509.53777220445</v>
      </c>
      <c r="AT8" s="14">
        <f t="shared" ref="AT8:AT72" si="41">I8*0.001935482073</f>
        <v>3077.1476366401553</v>
      </c>
      <c r="AU8" s="15">
        <f t="shared" ref="AU8" si="42">I8*0.067950503019</f>
        <v>108031.8607391336</v>
      </c>
      <c r="AV8" s="14">
        <f t="shared" ref="AV8:AV72" si="43">I8*0.021005084476</f>
        <v>33395.166483027519</v>
      </c>
      <c r="AW8" s="10">
        <f>0.03*E8</f>
        <v>85476.402643308553</v>
      </c>
      <c r="AY8"/>
      <c r="AZ8" s="1"/>
      <c r="BA8" s="1"/>
      <c r="BB8" s="1"/>
      <c r="BC8" s="1"/>
      <c r="BJ8" s="1"/>
    </row>
    <row r="9" spans="1:62" x14ac:dyDescent="0.25">
      <c r="A9" s="3" t="s">
        <v>36</v>
      </c>
      <c r="B9" s="20"/>
      <c r="C9" s="5">
        <f>SUM(C10:C11)</f>
        <v>5826537.0441668518</v>
      </c>
      <c r="D9" s="5"/>
      <c r="E9" s="5">
        <f t="shared" ref="E9:AW9" si="44">SUM(E10:E11)</f>
        <v>2913268.5220834259</v>
      </c>
      <c r="F9" s="5">
        <f t="shared" si="44"/>
        <v>1165307.4088333703</v>
      </c>
      <c r="G9" s="5">
        <f t="shared" si="44"/>
        <v>1747961.1132500554</v>
      </c>
      <c r="H9" s="5">
        <f>SUM(H10:H11)</f>
        <v>122357.27792750389</v>
      </c>
      <c r="I9" s="5">
        <f t="shared" si="44"/>
        <v>1625603.8353225514</v>
      </c>
      <c r="J9" s="5">
        <f>SUM(J10:J11)</f>
        <v>27309.390130480824</v>
      </c>
      <c r="K9" s="5">
        <f t="shared" si="44"/>
        <v>65897.291596896801</v>
      </c>
      <c r="L9" s="5">
        <f t="shared" si="44"/>
        <v>42726.286647004716</v>
      </c>
      <c r="M9" s="5">
        <f t="shared" si="44"/>
        <v>106085.2157912843</v>
      </c>
      <c r="N9" s="5">
        <f t="shared" si="44"/>
        <v>84601.094149953729</v>
      </c>
      <c r="O9" s="5">
        <f t="shared" si="44"/>
        <v>79013.975055756717</v>
      </c>
      <c r="P9" s="5">
        <f t="shared" si="44"/>
        <v>26194.865208797884</v>
      </c>
      <c r="Q9" s="5">
        <f t="shared" si="44"/>
        <v>24139.298164764332</v>
      </c>
      <c r="R9" s="5">
        <f t="shared" si="44"/>
        <v>56937.915426410167</v>
      </c>
      <c r="S9" s="5">
        <f t="shared" si="44"/>
        <v>20081.537622047697</v>
      </c>
      <c r="T9" s="5">
        <f t="shared" si="44"/>
        <v>32052.961404472691</v>
      </c>
      <c r="U9" s="5">
        <f t="shared" si="44"/>
        <v>23706.083709595063</v>
      </c>
      <c r="V9" s="5">
        <f t="shared" si="44"/>
        <v>62576.546922652327</v>
      </c>
      <c r="W9" s="5">
        <f t="shared" si="44"/>
        <v>81213.978296564688</v>
      </c>
      <c r="X9" s="5">
        <f t="shared" si="44"/>
        <v>3553.0482448385469</v>
      </c>
      <c r="Y9" s="5">
        <f t="shared" si="44"/>
        <v>34154.537710543475</v>
      </c>
      <c r="Z9" s="5">
        <f t="shared" si="44"/>
        <v>70634.123575807709</v>
      </c>
      <c r="AA9" s="5">
        <f t="shared" si="44"/>
        <v>62364.709196824333</v>
      </c>
      <c r="AB9" s="5">
        <f t="shared" si="44"/>
        <v>3404.3083891069637</v>
      </c>
      <c r="AC9" s="5">
        <f t="shared" si="44"/>
        <v>110916.1417061456</v>
      </c>
      <c r="AD9" s="5">
        <f t="shared" si="44"/>
        <v>110217.61050049336</v>
      </c>
      <c r="AE9" s="5">
        <f t="shared" si="44"/>
        <v>36806.809493256966</v>
      </c>
      <c r="AF9" s="5">
        <f t="shared" si="44"/>
        <v>117069.52847506393</v>
      </c>
      <c r="AG9" s="5">
        <f t="shared" si="44"/>
        <v>10053.381112837928</v>
      </c>
      <c r="AH9" s="5">
        <f t="shared" si="44"/>
        <v>12594.58265106271</v>
      </c>
      <c r="AI9" s="5">
        <f t="shared" si="44"/>
        <v>56845.264662511858</v>
      </c>
      <c r="AJ9" s="5">
        <f t="shared" si="44"/>
        <v>77612.809558564622</v>
      </c>
      <c r="AK9" s="5">
        <f t="shared" si="44"/>
        <v>52967.606125108112</v>
      </c>
      <c r="AL9" s="5">
        <f t="shared" si="44"/>
        <v>106655.31595505061</v>
      </c>
      <c r="AM9" s="5">
        <f t="shared" si="44"/>
        <v>36211.942086696043</v>
      </c>
      <c r="AN9" s="5">
        <f t="shared" si="44"/>
        <v>1079.6378475266995</v>
      </c>
      <c r="AO9" s="5">
        <f t="shared" si="44"/>
        <v>71312.542598282642</v>
      </c>
      <c r="AP9" s="5">
        <f t="shared" si="44"/>
        <v>77873.435784946807</v>
      </c>
      <c r="AQ9" s="5">
        <f t="shared" si="44"/>
        <v>81144.971235577308</v>
      </c>
      <c r="AR9" s="5">
        <f t="shared" si="44"/>
        <v>4131.1660934125848</v>
      </c>
      <c r="AS9" s="5">
        <f t="shared" si="44"/>
        <v>25060.553325064739</v>
      </c>
      <c r="AT9" s="5">
        <f t="shared" si="44"/>
        <v>3146.3270810668423</v>
      </c>
      <c r="AU9" s="5">
        <f>SUM(AU10:AU11)</f>
        <v>110460.59831978302</v>
      </c>
      <c r="AV9" s="5">
        <f>SUM(AV10:AV11)</f>
        <v>34145.945885459791</v>
      </c>
      <c r="AW9" s="5">
        <f t="shared" si="44"/>
        <v>87398.055662502768</v>
      </c>
      <c r="AX9" s="6"/>
      <c r="AY9"/>
      <c r="AZ9" s="1"/>
      <c r="BA9" s="1"/>
      <c r="BB9" s="1"/>
      <c r="BC9" s="1"/>
      <c r="BJ9" s="1"/>
    </row>
    <row r="10" spans="1:62" s="37" customFormat="1" x14ac:dyDescent="0.25">
      <c r="A10" s="17"/>
      <c r="B10" s="17" t="s">
        <v>39</v>
      </c>
      <c r="C10" s="18">
        <v>201115.80785009227</v>
      </c>
      <c r="D10" s="59"/>
      <c r="E10" s="36">
        <f>0.5*C10</f>
        <v>100557.90392504614</v>
      </c>
      <c r="F10" s="59">
        <f t="shared" ref="F10:F66" si="45">(C10*0.2)+D10</f>
        <v>40223.161570018456</v>
      </c>
      <c r="G10" s="10">
        <f t="shared" ref="G10:G72" si="46">0.3*C10</f>
        <v>60334.74235502768</v>
      </c>
      <c r="H10" s="11">
        <f>0.07*G10</f>
        <v>4223.4319648519377</v>
      </c>
      <c r="I10" s="38">
        <f>G10-H10</f>
        <v>56111.310390175742</v>
      </c>
      <c r="J10" s="13">
        <f>I10*0.016799535986</f>
        <v>942.64397812137315</v>
      </c>
      <c r="K10" s="11">
        <f t="shared" si="7"/>
        <v>2274.5907104308249</v>
      </c>
      <c r="L10" s="14">
        <f t="shared" si="8"/>
        <v>1474.792246287981</v>
      </c>
      <c r="M10" s="15">
        <f>(I6*0.036779545807)/4+I10*0.036779545807</f>
        <v>48359.993576789901</v>
      </c>
      <c r="N10" s="16">
        <f t="shared" si="10"/>
        <v>2920.1938074011878</v>
      </c>
      <c r="O10" s="15">
        <f>(I6*0.0273939973)/4+I10*0.0273939973</f>
        <v>36019.301065389038</v>
      </c>
      <c r="P10" s="14">
        <f t="shared" ref="P10:P72" si="47">I10*0.016113929261</f>
        <v>904.1736863693061</v>
      </c>
      <c r="Q10" s="15">
        <f>(I6*0.008369049504)/4+I10*0.008369049504</f>
        <v>11004.137527447325</v>
      </c>
      <c r="R10" s="14">
        <f t="shared" si="13"/>
        <v>1965.338033806345</v>
      </c>
      <c r="S10" s="15">
        <f t="shared" si="14"/>
        <v>693.15866888264986</v>
      </c>
      <c r="T10" s="14">
        <f t="shared" si="15"/>
        <v>1106.3788281071731</v>
      </c>
      <c r="U10" s="15">
        <f t="shared" si="16"/>
        <v>818.26789052859488</v>
      </c>
      <c r="V10" s="14">
        <f t="shared" si="17"/>
        <v>2159.9678662333131</v>
      </c>
      <c r="W10" s="15">
        <f t="shared" si="18"/>
        <v>2803.2800152168288</v>
      </c>
      <c r="X10" s="14">
        <f t="shared" ref="X10:X72" si="48">I10*0.002185679049</f>
        <v>122.64131553174315</v>
      </c>
      <c r="Y10" s="15">
        <f t="shared" si="20"/>
        <v>1178.9193806429503</v>
      </c>
      <c r="Z10" s="14">
        <f t="shared" si="21"/>
        <v>2438.0929387471369</v>
      </c>
      <c r="AA10" s="15">
        <f>(I6*0.021621727981)/4+I10*0.021621727981</f>
        <v>28429.568754523647</v>
      </c>
      <c r="AB10" s="14">
        <f t="shared" ref="AB10:AB72" si="49">I10*0.00209418083</f>
        <v>117.50723056528585</v>
      </c>
      <c r="AC10" s="15">
        <f>(I6*0.038454418782)/4+I10*0.038454418782</f>
        <v>50562.218877177467</v>
      </c>
      <c r="AD10" s="14">
        <f t="shared" si="25"/>
        <v>3804.4045042681387</v>
      </c>
      <c r="AE10" s="15">
        <f>(I6*0.012760851978)/4+I10*0.012760851978</f>
        <v>16778.747702017448</v>
      </c>
      <c r="AF10" s="14">
        <f t="shared" si="27"/>
        <v>4040.9136019246826</v>
      </c>
      <c r="AG10" s="15">
        <f t="shared" si="28"/>
        <v>347.01467592271604</v>
      </c>
      <c r="AH10" s="15">
        <f>(I6*0.004366518238)/4+I10*0.004366518238</f>
        <v>5741.3649165408224</v>
      </c>
      <c r="AI10" s="11">
        <f>(I6*0.019708146889)/4+I10*0.019708146889</f>
        <v>25913.475439957103</v>
      </c>
      <c r="AJ10" s="14">
        <f>(I6*0.026908215844)/4+I10*0.026908215844</f>
        <v>35380.565932139711</v>
      </c>
      <c r="AK10" s="15">
        <f>(I6*0.01836376993)/4+I10*0.01836376993</f>
        <v>24145.806490395178</v>
      </c>
      <c r="AL10" s="14">
        <f>(I6*0.036977198467)/4+I10*0.036977198467</f>
        <v>48619.879368153204</v>
      </c>
      <c r="AM10" s="15">
        <f t="shared" si="34"/>
        <v>1249.935241358791</v>
      </c>
      <c r="AN10" s="14">
        <f t="shared" si="35"/>
        <v>37.266087256451165</v>
      </c>
      <c r="AO10" s="15">
        <f>(I6*0.024723925078)/4+I10*0.024723925078</f>
        <v>32508.527001373546</v>
      </c>
      <c r="AP10" s="14">
        <f>(I6*0.026998574469)/4+I10*0.026998574469</f>
        <v>35499.374972021222</v>
      </c>
      <c r="AQ10" s="15">
        <f>(I6*0.028132809688)/4+I10*0.028132809688</f>
        <v>36990.736724916198</v>
      </c>
      <c r="AR10" s="14">
        <f t="shared" si="39"/>
        <v>142.59633122411319</v>
      </c>
      <c r="AS10" s="15">
        <f t="shared" si="40"/>
        <v>865.02040387548971</v>
      </c>
      <c r="AT10" s="14">
        <f t="shared" si="41"/>
        <v>108.60243535272379</v>
      </c>
      <c r="AU10" s="15">
        <f t="shared" ref="AU10:AU72" si="50">I10*0.067950503019</f>
        <v>3812.7917660676831</v>
      </c>
      <c r="AV10" s="14">
        <f t="shared" si="43"/>
        <v>1178.622814804698</v>
      </c>
      <c r="AW10" s="10">
        <f t="shared" ref="AW10:AW72" si="51">0.03*E10</f>
        <v>3016.7371177513842</v>
      </c>
    </row>
    <row r="11" spans="1:62" x14ac:dyDescent="0.25">
      <c r="A11" s="8"/>
      <c r="B11" s="17" t="s">
        <v>87</v>
      </c>
      <c r="C11" s="9">
        <v>5625421.2363167591</v>
      </c>
      <c r="D11" s="59"/>
      <c r="E11" s="36">
        <f>0.5*C11</f>
        <v>2812710.6181583796</v>
      </c>
      <c r="F11" s="59">
        <f t="shared" si="45"/>
        <v>1125084.2472633519</v>
      </c>
      <c r="G11" s="10">
        <f t="shared" si="46"/>
        <v>1687626.3708950276</v>
      </c>
      <c r="H11" s="11">
        <f>0.07*G11</f>
        <v>118133.84596265195</v>
      </c>
      <c r="I11" s="38">
        <f t="shared" ref="I11" si="52">G11-H11</f>
        <v>1569492.5249323756</v>
      </c>
      <c r="J11" s="13">
        <f>I11*0.016799535986</f>
        <v>26366.74615235945</v>
      </c>
      <c r="K11" s="11">
        <f t="shared" si="7"/>
        <v>63622.700886465973</v>
      </c>
      <c r="L11" s="14">
        <f t="shared" si="8"/>
        <v>41251.494400716736</v>
      </c>
      <c r="M11" s="15">
        <f>I11*0.036779545807</f>
        <v>57725.222214494395</v>
      </c>
      <c r="N11" s="16">
        <f t="shared" si="10"/>
        <v>81680.900342552544</v>
      </c>
      <c r="O11" s="15">
        <f>I11*0.0273939973</f>
        <v>42994.673990367679</v>
      </c>
      <c r="P11" s="14">
        <f t="shared" si="47"/>
        <v>25290.691522428577</v>
      </c>
      <c r="Q11" s="15">
        <f t="shared" si="12"/>
        <v>13135.160637317005</v>
      </c>
      <c r="R11" s="14">
        <f t="shared" si="13"/>
        <v>54972.577392603824</v>
      </c>
      <c r="S11" s="15">
        <f t="shared" si="14"/>
        <v>19388.378953165047</v>
      </c>
      <c r="T11" s="14">
        <f t="shared" si="15"/>
        <v>30946.582576365519</v>
      </c>
      <c r="U11" s="15">
        <f t="shared" si="16"/>
        <v>22887.815819066469</v>
      </c>
      <c r="V11" s="14">
        <f t="shared" si="17"/>
        <v>60416.579056419017</v>
      </c>
      <c r="W11" s="15">
        <f t="shared" si="18"/>
        <v>78410.698281347853</v>
      </c>
      <c r="X11" s="14">
        <f t="shared" si="48"/>
        <v>3430.4069293068037</v>
      </c>
      <c r="Y11" s="15">
        <f t="shared" si="20"/>
        <v>32975.618329900521</v>
      </c>
      <c r="Z11" s="14">
        <f t="shared" si="21"/>
        <v>68196.030637060569</v>
      </c>
      <c r="AA11" s="15">
        <f t="shared" si="22"/>
        <v>33935.14044230069</v>
      </c>
      <c r="AB11" s="14">
        <f t="shared" si="49"/>
        <v>3286.801158541678</v>
      </c>
      <c r="AC11" s="15">
        <f t="shared" si="24"/>
        <v>60353.922828968141</v>
      </c>
      <c r="AD11" s="14">
        <f t="shared" si="25"/>
        <v>106413.20599622522</v>
      </c>
      <c r="AE11" s="15">
        <f t="shared" si="26"/>
        <v>20028.061791239521</v>
      </c>
      <c r="AF11" s="14">
        <f t="shared" si="27"/>
        <v>113028.61487313925</v>
      </c>
      <c r="AG11" s="15">
        <f t="shared" si="28"/>
        <v>9706.366436915212</v>
      </c>
      <c r="AH11" s="15">
        <f t="shared" si="29"/>
        <v>6853.2177345218879</v>
      </c>
      <c r="AI11" s="2">
        <f>I11*0.019708146889</f>
        <v>30931.789222554755</v>
      </c>
      <c r="AJ11" s="14">
        <f t="shared" si="31"/>
        <v>42232.243626424919</v>
      </c>
      <c r="AK11" s="15">
        <f t="shared" si="32"/>
        <v>28821.799634712934</v>
      </c>
      <c r="AL11" s="14">
        <f t="shared" si="33"/>
        <v>58035.436586897398</v>
      </c>
      <c r="AM11" s="15">
        <f t="shared" si="34"/>
        <v>34962.006845337251</v>
      </c>
      <c r="AN11" s="14">
        <f t="shared" si="35"/>
        <v>1042.3717602702484</v>
      </c>
      <c r="AO11" s="15">
        <f t="shared" si="36"/>
        <v>38804.015596909099</v>
      </c>
      <c r="AP11" s="14">
        <f>I11*0.026998574469</f>
        <v>42374.060812925585</v>
      </c>
      <c r="AQ11" s="15">
        <f t="shared" si="38"/>
        <v>44154.234510661117</v>
      </c>
      <c r="AR11" s="14">
        <f t="shared" si="39"/>
        <v>3988.5697621884715</v>
      </c>
      <c r="AS11" s="15">
        <f t="shared" si="40"/>
        <v>24195.532921189249</v>
      </c>
      <c r="AT11" s="14">
        <f t="shared" si="41"/>
        <v>3037.7246457141187</v>
      </c>
      <c r="AU11" s="15">
        <f t="shared" si="50"/>
        <v>106647.80655371533</v>
      </c>
      <c r="AV11" s="14">
        <f t="shared" si="43"/>
        <v>32967.323070655089</v>
      </c>
      <c r="AW11" s="10">
        <f t="shared" si="51"/>
        <v>84381.318544751382</v>
      </c>
      <c r="AY11"/>
      <c r="AZ11" s="1"/>
      <c r="BA11" s="1"/>
      <c r="BB11" s="1"/>
      <c r="BC11" s="1"/>
      <c r="BJ11" s="1"/>
    </row>
    <row r="12" spans="1:62" x14ac:dyDescent="0.25">
      <c r="A12" s="3" t="s">
        <v>64</v>
      </c>
      <c r="B12" s="4"/>
      <c r="C12" s="5">
        <f>SUM(C13:C28)</f>
        <v>37579518.116894402</v>
      </c>
      <c r="D12" s="5">
        <f>SUM(D13:D28)</f>
        <v>299674.21999999997</v>
      </c>
      <c r="E12" s="5">
        <f t="shared" ref="E12:AW12" si="53">SUM(E13:E28)</f>
        <v>18789759.058447201</v>
      </c>
      <c r="F12" s="5">
        <f t="shared" si="53"/>
        <v>7815577.8433788782</v>
      </c>
      <c r="G12" s="5">
        <f t="shared" si="53"/>
        <v>11273855.435068317</v>
      </c>
      <c r="H12" s="5">
        <f t="shared" si="53"/>
        <v>180938.0157520858</v>
      </c>
      <c r="I12" s="5">
        <f>SUM(I13:I28)</f>
        <v>11092917.419316232</v>
      </c>
      <c r="J12" s="5">
        <f t="shared" si="53"/>
        <v>186355.86537552931</v>
      </c>
      <c r="K12" s="5">
        <f t="shared" si="53"/>
        <v>449674.88262349874</v>
      </c>
      <c r="L12" s="5">
        <f t="shared" si="53"/>
        <v>291558.84054322157</v>
      </c>
      <c r="M12" s="5">
        <f t="shared" si="53"/>
        <v>454288.70942301326</v>
      </c>
      <c r="N12" s="5">
        <f t="shared" si="53"/>
        <v>577307.29381739127</v>
      </c>
      <c r="O12" s="5">
        <f t="shared" si="53"/>
        <v>338361.53781393293</v>
      </c>
      <c r="P12" s="5">
        <f t="shared" si="53"/>
        <v>178750.48659297646</v>
      </c>
      <c r="Q12" s="5">
        <f t="shared" si="53"/>
        <v>103371.71421909911</v>
      </c>
      <c r="R12" s="5">
        <f t="shared" si="53"/>
        <v>388537.21929602645</v>
      </c>
      <c r="S12" s="5">
        <f t="shared" si="53"/>
        <v>137033.90312810542</v>
      </c>
      <c r="T12" s="5">
        <f t="shared" si="53"/>
        <v>218725.4029416065</v>
      </c>
      <c r="U12" s="5">
        <f t="shared" si="53"/>
        <v>161767.35266729828</v>
      </c>
      <c r="V12" s="5">
        <f t="shared" si="53"/>
        <v>427014.53596239549</v>
      </c>
      <c r="W12" s="5">
        <f t="shared" si="53"/>
        <v>554194.03852426121</v>
      </c>
      <c r="X12" s="5">
        <f t="shared" si="53"/>
        <v>24245.557195686641</v>
      </c>
      <c r="Y12" s="5">
        <f t="shared" si="53"/>
        <v>233066.29701867365</v>
      </c>
      <c r="Z12" s="5">
        <f t="shared" si="53"/>
        <v>481998.43208215822</v>
      </c>
      <c r="AA12" s="5">
        <f t="shared" si="53"/>
        <v>267064.3882207619</v>
      </c>
      <c r="AB12" s="5">
        <f t="shared" si="53"/>
        <v>23230.575008305124</v>
      </c>
      <c r="AC12" s="5">
        <f t="shared" si="53"/>
        <v>474976.18300555588</v>
      </c>
      <c r="AD12" s="5">
        <f t="shared" si="53"/>
        <v>752111.20007830195</v>
      </c>
      <c r="AE12" s="5">
        <f t="shared" si="53"/>
        <v>157617.79676790902</v>
      </c>
      <c r="AF12" s="5">
        <f t="shared" si="53"/>
        <v>798867.83204746712</v>
      </c>
      <c r="AG12" s="5">
        <f t="shared" si="53"/>
        <v>68603.016335463224</v>
      </c>
      <c r="AH12" s="5">
        <f t="shared" si="53"/>
        <v>53933.780080436263</v>
      </c>
      <c r="AI12" s="5">
        <f t="shared" si="53"/>
        <v>243428.47142008436</v>
      </c>
      <c r="AJ12" s="5">
        <f t="shared" si="53"/>
        <v>332361.32693949976</v>
      </c>
      <c r="AK12" s="5">
        <f t="shared" si="53"/>
        <v>226823.17463673186</v>
      </c>
      <c r="AL12" s="5">
        <f t="shared" si="53"/>
        <v>456730.04929971008</v>
      </c>
      <c r="AM12" s="5">
        <f t="shared" si="53"/>
        <v>247105.76736617801</v>
      </c>
      <c r="AN12" s="5">
        <f t="shared" si="53"/>
        <v>7367.3137483744131</v>
      </c>
      <c r="AO12" s="5">
        <f t="shared" si="53"/>
        <v>305381.69433887408</v>
      </c>
      <c r="AP12" s="5">
        <f t="shared" si="53"/>
        <v>333477.40660377551</v>
      </c>
      <c r="AQ12" s="5">
        <f t="shared" si="53"/>
        <v>347487.10255068872</v>
      </c>
      <c r="AR12" s="5">
        <f t="shared" si="53"/>
        <v>28190.561146536751</v>
      </c>
      <c r="AS12" s="5">
        <f t="shared" si="53"/>
        <v>171010.08405418432</v>
      </c>
      <c r="AT12" s="5">
        <f t="shared" si="53"/>
        <v>21470.142802355993</v>
      </c>
      <c r="AU12" s="5">
        <f t="shared" si="53"/>
        <v>753769.31859076547</v>
      </c>
      <c r="AV12" s="5">
        <f>SUM(AV13:AV28)</f>
        <v>233007.66747802935</v>
      </c>
      <c r="AW12" s="5">
        <f t="shared" si="53"/>
        <v>563692.77175341605</v>
      </c>
      <c r="AX12" s="6"/>
      <c r="AY12"/>
      <c r="AZ12" s="1"/>
      <c r="BA12" s="1"/>
      <c r="BB12" s="1"/>
      <c r="BC12" s="1"/>
      <c r="BJ12" s="1"/>
    </row>
    <row r="13" spans="1:62" x14ac:dyDescent="0.25">
      <c r="A13" s="17"/>
      <c r="B13" s="17" t="s">
        <v>97</v>
      </c>
      <c r="C13" s="9">
        <v>1285204.22</v>
      </c>
      <c r="D13" s="59"/>
      <c r="E13" s="10">
        <f t="shared" ref="E13:E17" si="54">0.5*C13</f>
        <v>642602.11</v>
      </c>
      <c r="F13" s="59">
        <f t="shared" ref="F13:F17" si="55">(C13*0.2)+D13</f>
        <v>257040.84400000001</v>
      </c>
      <c r="G13" s="10">
        <f t="shared" ref="G13:G17" si="56">0.3*C13</f>
        <v>385561.266</v>
      </c>
      <c r="H13" s="11">
        <f>0.07*G13</f>
        <v>26989.288620000003</v>
      </c>
      <c r="I13" s="12">
        <f t="shared" ref="I13:I17" si="57">G13-H13</f>
        <v>358571.97738</v>
      </c>
      <c r="J13" s="13">
        <f t="shared" ref="J13:J17" si="58">I13*0.016799535986</f>
        <v>6023.842837566488</v>
      </c>
      <c r="K13" s="11">
        <f t="shared" ref="K13:K17" si="59">I13*0.040537116218</f>
        <v>14535.473919571126</v>
      </c>
      <c r="L13" s="14">
        <f>I13*0.026283332826</f>
        <v>9424.4666235554832</v>
      </c>
      <c r="M13" s="15">
        <f t="shared" ref="M13:M17" si="60">I13*0.036779545807</f>
        <v>13188.114467154277</v>
      </c>
      <c r="N13" s="16">
        <f>I13*0.052042873123</f>
        <v>18661.115924250567</v>
      </c>
      <c r="O13" s="15">
        <f>I13*0.0273939973</f>
        <v>9822.7197802033807</v>
      </c>
      <c r="P13" s="14">
        <f>I13*0.016113929261</f>
        <v>5778.0034784782119</v>
      </c>
      <c r="Q13" s="15">
        <f>I13*0.008369049504</f>
        <v>3000.9066294403879</v>
      </c>
      <c r="R13" s="14">
        <f>I13*0.035025701951</f>
        <v>12559.235207692594</v>
      </c>
      <c r="S13" s="15">
        <f>I13*0.012353278939</f>
        <v>4429.5396562839387</v>
      </c>
      <c r="T13" s="14">
        <f>I13*0.019717572454</f>
        <v>7070.1689439641987</v>
      </c>
      <c r="U13" s="15">
        <f>I13*0.014582940317</f>
        <v>5229.0337454812143</v>
      </c>
      <c r="V13" s="14">
        <f>I13*0.038494340111</f>
        <v>13802.99165153952</v>
      </c>
      <c r="W13" s="15">
        <f>I13*0.049959268385</f>
        <v>17913.993653267567</v>
      </c>
      <c r="X13" s="14">
        <f>I13*0.002185679049</f>
        <v>783.72325851796791</v>
      </c>
      <c r="Y13" s="15">
        <f>I13*0.021010369789</f>
        <v>7533.7298407267435</v>
      </c>
      <c r="Z13" s="14">
        <f>I13*0.043451006968</f>
        <v>15580.313487667918</v>
      </c>
      <c r="AA13" s="15">
        <f>I13*0.021621727981</f>
        <v>7752.9457565196453</v>
      </c>
      <c r="AB13" s="14">
        <f>I13*0.00209418083</f>
        <v>750.91456120438954</v>
      </c>
      <c r="AC13" s="15">
        <f>I13*0.038454418782</f>
        <v>13788.67698166035</v>
      </c>
      <c r="AD13" s="14">
        <f>I13*0.067801027597</f>
        <v>24311.548533852241</v>
      </c>
      <c r="AE13" s="15">
        <f>I13*0.012760851978</f>
        <v>4575.6839268049443</v>
      </c>
      <c r="AF13" s="14">
        <f>I13*0.072016026249</f>
        <v>25822.928935153912</v>
      </c>
      <c r="AG13" s="15">
        <f>I13*0.006184398003</f>
        <v>2217.5518208406334</v>
      </c>
      <c r="AH13" s="15">
        <f>I13*0.004366518238</f>
        <v>1565.7110788654934</v>
      </c>
      <c r="AI13" s="64">
        <f>I13*0.019708146889</f>
        <v>7066.7892004842261</v>
      </c>
      <c r="AJ13" s="14">
        <f>I13*0.026908215844</f>
        <v>9648.5321629509253</v>
      </c>
      <c r="AK13" s="15">
        <f>I13*0.01836376993</f>
        <v>6584.7332959514843</v>
      </c>
      <c r="AL13" s="14">
        <f>I13*0.036977198467</f>
        <v>13258.987172284893</v>
      </c>
      <c r="AM13" s="15">
        <f>I13*0.022275994495</f>
        <v>7987.5473941781447</v>
      </c>
      <c r="AN13" s="14">
        <f>I13*0.000664145731</f>
        <v>238.14404803315557</v>
      </c>
      <c r="AO13" s="15">
        <f>I13*0.024723925078</f>
        <v>8865.3067038134304</v>
      </c>
      <c r="AP13" s="14">
        <f>I13*0.026998574469</f>
        <v>9680.9322337905123</v>
      </c>
      <c r="AQ13" s="15">
        <f>I13*0.028132809688</f>
        <v>10087.63719908138</v>
      </c>
      <c r="AR13" s="14">
        <f>I13*0.002541311729</f>
        <v>911.24317180651678</v>
      </c>
      <c r="AS13" s="15">
        <f>I13*0.015416150467</f>
        <v>5527.7995565398005</v>
      </c>
      <c r="AT13" s="14">
        <f>I13*0.001935482073</f>
        <v>694.00963409915153</v>
      </c>
      <c r="AU13" s="15">
        <f>I13*0.067950503019</f>
        <v>24365.146231488492</v>
      </c>
      <c r="AV13" s="14">
        <f t="shared" ref="AV13:AV17" si="61">I13*0.021005084476</f>
        <v>7531.8346755932607</v>
      </c>
      <c r="AW13" s="10">
        <f t="shared" ref="AW13:AW17" si="62">0.03*E13</f>
        <v>19278.063299999998</v>
      </c>
      <c r="AX13" s="6"/>
      <c r="AY13"/>
      <c r="AZ13" s="1"/>
      <c r="BA13" s="1"/>
      <c r="BB13" s="1"/>
      <c r="BC13" s="1"/>
      <c r="BJ13" s="1"/>
    </row>
    <row r="14" spans="1:62" x14ac:dyDescent="0.25">
      <c r="A14" s="17"/>
      <c r="B14" s="17" t="s">
        <v>107</v>
      </c>
      <c r="C14" s="9">
        <v>1291028.99</v>
      </c>
      <c r="D14" s="59"/>
      <c r="E14" s="10">
        <f t="shared" si="54"/>
        <v>645514.495</v>
      </c>
      <c r="F14" s="59">
        <f t="shared" si="55"/>
        <v>258205.79800000001</v>
      </c>
      <c r="G14" s="10">
        <f t="shared" si="56"/>
        <v>387308.69699999999</v>
      </c>
      <c r="H14" s="11">
        <f>0.07*G14</f>
        <v>27111.608790000002</v>
      </c>
      <c r="I14" s="12">
        <f t="shared" si="57"/>
        <v>360197.08820999996</v>
      </c>
      <c r="J14" s="13">
        <f t="shared" si="58"/>
        <v>6051.1439454363108</v>
      </c>
      <c r="K14" s="11">
        <f t="shared" si="59"/>
        <v>14601.351226153965</v>
      </c>
      <c r="L14" s="14">
        <f t="shared" ref="L14" si="63">I14*0.026283332826</f>
        <v>9467.1799523795089</v>
      </c>
      <c r="M14" s="15">
        <f t="shared" si="60"/>
        <v>13247.885305367712</v>
      </c>
      <c r="N14" s="16">
        <f t="shared" ref="N14" si="64">I14*0.052042873123</f>
        <v>18745.691360987068</v>
      </c>
      <c r="O14" s="15">
        <f t="shared" ref="O14" si="65">I14*0.0273939973</f>
        <v>9867.2380618925999</v>
      </c>
      <c r="P14" s="14">
        <f t="shared" ref="P14" si="66">I14*0.016113929261</f>
        <v>5804.1903994341155</v>
      </c>
      <c r="Q14" s="15">
        <f t="shared" ref="Q14" si="67">I14*0.008369049504</f>
        <v>3014.5072624261443</v>
      </c>
      <c r="R14" s="14">
        <f t="shared" ref="R14" si="68">I14*0.035025701951</f>
        <v>12616.155855261515</v>
      </c>
      <c r="S14" s="15">
        <f t="shared" ref="S14" si="69">I14*0.012353278939</f>
        <v>4449.6151036737174</v>
      </c>
      <c r="T14" s="14">
        <f t="shared" ref="T14" si="70">I14*0.019717572454</f>
        <v>7102.2121845005031</v>
      </c>
      <c r="U14" s="15">
        <f t="shared" ref="U14" si="71">I14*0.014582940317</f>
        <v>5252.7326397236138</v>
      </c>
      <c r="V14" s="14">
        <f t="shared" ref="V14" si="72">I14*0.038494340111</f>
        <v>13865.549220547608</v>
      </c>
      <c r="W14" s="15">
        <f t="shared" ref="W14" si="73">I14*0.049959268385</f>
        <v>17995.183001378908</v>
      </c>
      <c r="X14" s="14">
        <f t="shared" ref="X14" si="74">I14*0.002185679049</f>
        <v>787.27522921140189</v>
      </c>
      <c r="Y14" s="15">
        <f t="shared" ref="Y14" si="75">I14*0.021010369789</f>
        <v>7567.8740202131521</v>
      </c>
      <c r="Z14" s="14">
        <f t="shared" ref="Z14" si="76">I14*0.043451006968</f>
        <v>15650.926189666019</v>
      </c>
      <c r="AA14" s="15">
        <f t="shared" ref="AA14" si="77">I14*0.021621727981</f>
        <v>7788.0834608248815</v>
      </c>
      <c r="AB14" s="14">
        <f t="shared" ref="AB14" si="78">I14*0.00209418083</f>
        <v>754.31783715120093</v>
      </c>
      <c r="AC14" s="15">
        <f t="shared" ref="AC14" si="79">I14*0.038454418782</f>
        <v>13851.169674084333</v>
      </c>
      <c r="AD14" s="14">
        <f t="shared" ref="AD14" si="80">I14*0.067801027597</f>
        <v>24421.732718085252</v>
      </c>
      <c r="AE14" s="15">
        <f t="shared" ref="AE14" si="81">I14*0.012760851978</f>
        <v>4596.421725554419</v>
      </c>
      <c r="AF14" s="14">
        <f t="shared" ref="AF14" si="82">I14*0.072016026249</f>
        <v>25939.962959344724</v>
      </c>
      <c r="AG14" s="15">
        <f t="shared" ref="AG14" si="83">I14*0.006184398003</f>
        <v>2227.6021530123385</v>
      </c>
      <c r="AH14" s="15">
        <f t="shared" ref="AH14" si="84">I14*0.004366518238</f>
        <v>1572.8071549434594</v>
      </c>
      <c r="AI14" s="64">
        <f t="shared" ref="AI14" si="85">I14*0.019708146889</f>
        <v>7098.8171234327701</v>
      </c>
      <c r="AJ14" s="14">
        <f t="shared" ref="AJ14" si="86">I14*0.026908215844</f>
        <v>9692.2609959349866</v>
      </c>
      <c r="AK14" s="15">
        <f t="shared" ref="AK14" si="87">I14*0.01836376993</f>
        <v>6614.5764573443548</v>
      </c>
      <c r="AL14" s="14">
        <f t="shared" ref="AL14" si="88">I14*0.036977198467</f>
        <v>13319.079217976674</v>
      </c>
      <c r="AM14" s="15">
        <f t="shared" ref="AM14" si="89">I14*0.022275994495</f>
        <v>8023.7483540809881</v>
      </c>
      <c r="AN14" s="14">
        <f t="shared" ref="AN14" si="90">I14*0.000664145731</f>
        <v>239.2233584533019</v>
      </c>
      <c r="AO14" s="15">
        <f t="shared" ref="AO14" si="91">I14*0.024723925078</f>
        <v>8905.4858222177954</v>
      </c>
      <c r="AP14" s="14">
        <f t="shared" ref="AP14" si="92">I14*0.026998574469</f>
        <v>9724.8079095546454</v>
      </c>
      <c r="AQ14" s="15">
        <f t="shared" ref="AQ14" si="93">I14*0.028132809688</f>
        <v>10133.356132783678</v>
      </c>
      <c r="AR14" s="14">
        <f t="shared" ref="AR14" si="94">I14*0.002541311729</f>
        <v>915.37308501972063</v>
      </c>
      <c r="AS14" s="15">
        <f t="shared" ref="AS14" si="95">I14*0.015416150467</f>
        <v>5552.8525096206313</v>
      </c>
      <c r="AT14" s="14">
        <f t="shared" ref="AT14" si="96">I14*0.001935482073</f>
        <v>697.15500697725463</v>
      </c>
      <c r="AU14" s="15">
        <f t="shared" ref="AU14" si="97">I14*0.067950503019</f>
        <v>24475.573329848612</v>
      </c>
      <c r="AV14" s="14">
        <f t="shared" si="61"/>
        <v>7565.9702658602728</v>
      </c>
      <c r="AW14" s="10">
        <f t="shared" si="62"/>
        <v>19365.434849999998</v>
      </c>
      <c r="AY14"/>
      <c r="AZ14" s="1"/>
      <c r="BA14" s="1"/>
      <c r="BB14" s="1"/>
      <c r="BC14" s="1"/>
      <c r="BJ14" s="1"/>
    </row>
    <row r="15" spans="1:62" x14ac:dyDescent="0.25">
      <c r="A15" s="8"/>
      <c r="B15" s="17" t="s">
        <v>90</v>
      </c>
      <c r="C15" s="21">
        <v>5394596.1888735304</v>
      </c>
      <c r="D15" s="59">
        <v>108868.76</v>
      </c>
      <c r="E15" s="10">
        <f t="shared" si="54"/>
        <v>2697298.0944367652</v>
      </c>
      <c r="F15" s="59">
        <f t="shared" si="55"/>
        <v>1187787.9977747062</v>
      </c>
      <c r="G15" s="10">
        <f t="shared" si="56"/>
        <v>1618378.856662059</v>
      </c>
      <c r="H15" s="11"/>
      <c r="I15" s="38">
        <f t="shared" si="57"/>
        <v>1618378.856662059</v>
      </c>
      <c r="J15" s="13">
        <f t="shared" si="58"/>
        <v>27188.013841475797</v>
      </c>
      <c r="K15" s="11">
        <f t="shared" si="59"/>
        <v>65604.411797263849</v>
      </c>
      <c r="L15" s="14">
        <f t="shared" ref="L15:L17" si="98">I15*0.026283332826</f>
        <v>42536.390128210245</v>
      </c>
      <c r="M15" s="15">
        <f t="shared" si="60"/>
        <v>59523.239291682483</v>
      </c>
      <c r="N15" s="16">
        <f t="shared" ref="N15:N17" si="99">I15*0.052042873123</f>
        <v>84225.085502209346</v>
      </c>
      <c r="O15" s="15">
        <f t="shared" ref="O15:O17" si="100">I15*0.0273939973</f>
        <v>44333.866029777528</v>
      </c>
      <c r="P15" s="14">
        <f t="shared" ref="P15:P17" si="101">I15*0.016113929261</f>
        <v>26078.442413750476</v>
      </c>
      <c r="Q15" s="15">
        <f t="shared" ref="Q15:Q17" si="102">I15*0.008369049504</f>
        <v>13544.29276763169</v>
      </c>
      <c r="R15" s="14">
        <f t="shared" ref="R15:R17" si="103">I15*0.035025701951</f>
        <v>56684.85547724543</v>
      </c>
      <c r="S15" s="15">
        <f t="shared" ref="S15:S17" si="104">I15*0.012353278939</f>
        <v>19992.285445326313</v>
      </c>
      <c r="T15" s="14">
        <f t="shared" ref="T15:T17" si="105">I15*0.019717572454</f>
        <v>31910.50236425583</v>
      </c>
      <c r="U15" s="15">
        <f t="shared" ref="U15:U17" si="106">I15*0.014582940317</f>
        <v>23600.722276997505</v>
      </c>
      <c r="V15" s="14">
        <f t="shared" ref="V15:V17" si="107">I15*0.038494340111</f>
        <v>62298.426136800619</v>
      </c>
      <c r="W15" s="15">
        <f t="shared" ref="W15:W17" si="108">I15*0.049959268385</f>
        <v>80853.023648589253</v>
      </c>
      <c r="X15" s="14">
        <f t="shared" ref="X15:X17" si="109">I15*0.002185679049</f>
        <v>3537.2567603508364</v>
      </c>
      <c r="Y15" s="15">
        <f t="shared" ref="Y15:Y17" si="110">I15*0.021010369789</f>
        <v>34002.738237168887</v>
      </c>
      <c r="Z15" s="14">
        <f t="shared" ref="Z15:Z17" si="111">I15*0.043451006968</f>
        <v>70320.190977687002</v>
      </c>
      <c r="AA15" s="15">
        <f t="shared" ref="AA15:AA17" si="112">I15*0.021621727981</f>
        <v>34992.147408948826</v>
      </c>
      <c r="AB15" s="14">
        <f t="shared" ref="AB15:AB17" si="113">I15*0.00209418083</f>
        <v>3389.1779772990017</v>
      </c>
      <c r="AC15" s="15">
        <f t="shared" ref="AC15:AC17" si="114">I15*0.038454418782</f>
        <v>62233.818302017164</v>
      </c>
      <c r="AD15" s="14">
        <f t="shared" ref="AD15:AD17" si="115">I15*0.067801027597</f>
        <v>109727.74952294558</v>
      </c>
      <c r="AE15" s="15">
        <f t="shared" ref="AE15:AE17" si="116">I15*0.012760851978</f>
        <v>20651.893034189416</v>
      </c>
      <c r="AF15" s="14">
        <f t="shared" ref="AF15:AF17" si="117">I15*0.072016026249</f>
        <v>116549.21422220144</v>
      </c>
      <c r="AG15" s="15">
        <f t="shared" ref="AG15:AG17" si="118">I15*0.006184398003</f>
        <v>10008.698969238261</v>
      </c>
      <c r="AH15" s="15">
        <f t="shared" ref="AH15:AH17" si="119">I15*0.004366518238</f>
        <v>7066.6807936084679</v>
      </c>
      <c r="AI15" s="11">
        <f t="shared" ref="AI15:AI17" si="120">I15*0.019708146889</f>
        <v>31895.248229147735</v>
      </c>
      <c r="AJ15" s="14">
        <f t="shared" ref="AJ15:AJ17" si="121">I15*0.026908215844</f>
        <v>43547.687592428621</v>
      </c>
      <c r="AK15" s="15">
        <f t="shared" ref="AK15:AK17" si="122">I15*0.01836376993</f>
        <v>29719.536983318496</v>
      </c>
      <c r="AL15" s="14">
        <f t="shared" ref="AL15:AL17" si="123">I15*0.036977198467</f>
        <v>59843.116177589494</v>
      </c>
      <c r="AM15" s="15">
        <f t="shared" ref="AM15:AM17" si="124">I15*0.022275994495</f>
        <v>36050.998501828421</v>
      </c>
      <c r="AN15" s="14">
        <f t="shared" ref="AN15:AN17" si="125">I15*0.000664145731</f>
        <v>1074.8394087927675</v>
      </c>
      <c r="AO15" s="15">
        <f t="shared" ref="AO15:AO17" si="126">I15*0.024723925078</f>
        <v>40012.677599932045</v>
      </c>
      <c r="AP15" s="14">
        <f t="shared" ref="AP15:AP17" si="127">I15*0.026998574469</f>
        <v>43693.922080645672</v>
      </c>
      <c r="AQ15" s="15">
        <f t="shared" ref="AQ15:AQ17" si="128">I15*0.028132809688</f>
        <v>45529.544377556733</v>
      </c>
      <c r="AR15" s="14">
        <f t="shared" ref="AR15:AR17" si="129">I15*0.002541311729</f>
        <v>4112.8051704009004</v>
      </c>
      <c r="AS15" s="15">
        <f t="shared" ref="AS15:AS17" si="130">I15*0.015416150467</f>
        <v>24949.171966913724</v>
      </c>
      <c r="AT15" s="14">
        <f t="shared" ref="AT15:AT17" si="131">I15*0.001935482073</f>
        <v>3132.3432643916517</v>
      </c>
      <c r="AU15" s="15">
        <f t="shared" ref="AU15:AU17" si="132">I15*0.067950503019</f>
        <v>109969.65738550102</v>
      </c>
      <c r="AV15" s="14">
        <f t="shared" si="61"/>
        <v>33994.184598358843</v>
      </c>
      <c r="AW15" s="10">
        <f t="shared" si="62"/>
        <v>80918.942833102948</v>
      </c>
      <c r="AY15"/>
      <c r="AZ15" s="1"/>
      <c r="BA15" s="1"/>
      <c r="BB15" s="1"/>
      <c r="BC15" s="1"/>
      <c r="BJ15" s="1"/>
    </row>
    <row r="16" spans="1:62" x14ac:dyDescent="0.25">
      <c r="A16" s="8"/>
      <c r="B16" s="17" t="s">
        <v>91</v>
      </c>
      <c r="C16" s="21">
        <v>8801709.5713199712</v>
      </c>
      <c r="D16" s="59"/>
      <c r="E16" s="10">
        <f t="shared" si="54"/>
        <v>4400854.7856599856</v>
      </c>
      <c r="F16" s="59">
        <f t="shared" si="55"/>
        <v>1760341.9142639944</v>
      </c>
      <c r="G16" s="10">
        <f t="shared" si="56"/>
        <v>2640512.8713959912</v>
      </c>
      <c r="H16" s="11"/>
      <c r="I16" s="38">
        <f t="shared" si="57"/>
        <v>2640512.8713959912</v>
      </c>
      <c r="J16" s="13">
        <f t="shared" si="58"/>
        <v>44359.391004513149</v>
      </c>
      <c r="K16" s="11">
        <f t="shared" si="59"/>
        <v>107038.77714290417</v>
      </c>
      <c r="L16" s="14">
        <f t="shared" si="98"/>
        <v>69401.478630237776</v>
      </c>
      <c r="M16" s="15">
        <f t="shared" si="60"/>
        <v>97116.864107481961</v>
      </c>
      <c r="N16" s="16">
        <f t="shared" si="99"/>
        <v>137419.87634570998</v>
      </c>
      <c r="O16" s="15">
        <f t="shared" si="100"/>
        <v>72334.202469637035</v>
      </c>
      <c r="P16" s="14">
        <f t="shared" si="101"/>
        <v>42549.037622434989</v>
      </c>
      <c r="Q16" s="15">
        <f t="shared" si="102"/>
        <v>22098.582936662235</v>
      </c>
      <c r="R16" s="14">
        <f t="shared" si="103"/>
        <v>92485.816831295175</v>
      </c>
      <c r="S16" s="15">
        <f t="shared" si="104"/>
        <v>32618.992042374513</v>
      </c>
      <c r="T16" s="14">
        <f t="shared" si="105"/>
        <v>52064.503857470037</v>
      </c>
      <c r="U16" s="15">
        <f t="shared" si="106"/>
        <v>38506.441609838039</v>
      </c>
      <c r="V16" s="14">
        <f t="shared" si="107"/>
        <v>101644.8005389905</v>
      </c>
      <c r="W16" s="15">
        <f t="shared" si="108"/>
        <v>131918.0912161193</v>
      </c>
      <c r="X16" s="14">
        <f t="shared" si="109"/>
        <v>5771.3136616250495</v>
      </c>
      <c r="Y16" s="15">
        <f t="shared" si="110"/>
        <v>55478.151860643979</v>
      </c>
      <c r="Z16" s="14">
        <f t="shared" si="111"/>
        <v>114732.9431741209</v>
      </c>
      <c r="AA16" s="15">
        <f t="shared" si="112"/>
        <v>57092.451035653357</v>
      </c>
      <c r="AB16" s="14">
        <f t="shared" si="113"/>
        <v>5529.7114366457399</v>
      </c>
      <c r="AC16" s="15">
        <f t="shared" si="114"/>
        <v>101539.38775592274</v>
      </c>
      <c r="AD16" s="14">
        <f t="shared" si="115"/>
        <v>179029.48606375331</v>
      </c>
      <c r="AE16" s="15">
        <f t="shared" si="116"/>
        <v>33695.193897887992</v>
      </c>
      <c r="AF16" s="14">
        <f t="shared" si="117"/>
        <v>190159.24425727606</v>
      </c>
      <c r="AG16" s="15">
        <f t="shared" si="118"/>
        <v>16329.982528757164</v>
      </c>
      <c r="AH16" s="15">
        <f t="shared" si="119"/>
        <v>11529.847610624343</v>
      </c>
      <c r="AI16" s="2">
        <f t="shared" si="120"/>
        <v>52039.615531767362</v>
      </c>
      <c r="AJ16" s="14">
        <f t="shared" si="121"/>
        <v>71051.490282383544</v>
      </c>
      <c r="AK16" s="15">
        <f t="shared" si="122"/>
        <v>48489.770867519655</v>
      </c>
      <c r="AL16" s="14">
        <f t="shared" si="123"/>
        <v>97638.768500277612</v>
      </c>
      <c r="AM16" s="15">
        <f t="shared" si="124"/>
        <v>58820.050187193745</v>
      </c>
      <c r="AN16" s="14">
        <f t="shared" si="125"/>
        <v>1753.6853511881995</v>
      </c>
      <c r="AO16" s="15">
        <f t="shared" si="126"/>
        <v>65283.842399889138</v>
      </c>
      <c r="AP16" s="14">
        <f t="shared" si="127"/>
        <v>71290.083394737681</v>
      </c>
      <c r="AQ16" s="15">
        <f t="shared" si="128"/>
        <v>74285.046089697833</v>
      </c>
      <c r="AR16" s="14">
        <f t="shared" si="129"/>
        <v>6710.3663306541011</v>
      </c>
      <c r="AS16" s="15">
        <f t="shared" si="130"/>
        <v>40706.543735490821</v>
      </c>
      <c r="AT16" s="14">
        <f t="shared" si="131"/>
        <v>5110.6653261126958</v>
      </c>
      <c r="AU16" s="15">
        <f t="shared" si="132"/>
        <v>179424.17783950167</v>
      </c>
      <c r="AV16" s="14">
        <f t="shared" si="61"/>
        <v>55464.195923638123</v>
      </c>
      <c r="AW16" s="10">
        <f t="shared" si="62"/>
        <v>132025.64356979958</v>
      </c>
      <c r="AY16"/>
      <c r="AZ16" s="1"/>
      <c r="BA16" s="1"/>
      <c r="BB16" s="1"/>
      <c r="BC16" s="1"/>
      <c r="BJ16" s="1"/>
    </row>
    <row r="17" spans="1:62" x14ac:dyDescent="0.25">
      <c r="A17" s="8"/>
      <c r="B17" s="17" t="s">
        <v>92</v>
      </c>
      <c r="C17" s="21">
        <v>1612963.4208181764</v>
      </c>
      <c r="D17" s="59">
        <v>20798.689999999999</v>
      </c>
      <c r="E17" s="10">
        <f t="shared" si="54"/>
        <v>806481.71040908818</v>
      </c>
      <c r="F17" s="59">
        <f t="shared" si="55"/>
        <v>343391.37416363531</v>
      </c>
      <c r="G17" s="10">
        <f t="shared" si="56"/>
        <v>483889.02624545287</v>
      </c>
      <c r="H17" s="11"/>
      <c r="I17" s="38">
        <f t="shared" si="57"/>
        <v>483889.02624545287</v>
      </c>
      <c r="J17" s="13">
        <f t="shared" si="58"/>
        <v>8129.111109640985</v>
      </c>
      <c r="K17" s="11">
        <f t="shared" si="59"/>
        <v>19615.465693526774</v>
      </c>
      <c r="L17" s="14">
        <f t="shared" si="98"/>
        <v>12718.216327658287</v>
      </c>
      <c r="M17" s="15">
        <f t="shared" si="60"/>
        <v>17797.218606299259</v>
      </c>
      <c r="N17" s="16">
        <f t="shared" si="99"/>
        <v>25182.975198504122</v>
      </c>
      <c r="O17" s="15">
        <f t="shared" si="100"/>
        <v>13255.654678467565</v>
      </c>
      <c r="P17" s="14">
        <f t="shared" si="101"/>
        <v>7797.3535390933994</v>
      </c>
      <c r="Q17" s="15">
        <f t="shared" si="102"/>
        <v>4049.69121509055</v>
      </c>
      <c r="R17" s="14">
        <f t="shared" si="103"/>
        <v>16948.552810632849</v>
      </c>
      <c r="S17" s="15">
        <f t="shared" si="104"/>
        <v>5977.6161167311711</v>
      </c>
      <c r="T17" s="14">
        <f t="shared" si="105"/>
        <v>9541.1169346902243</v>
      </c>
      <c r="U17" s="15">
        <f t="shared" si="106"/>
        <v>7056.5247897886857</v>
      </c>
      <c r="V17" s="14">
        <f t="shared" si="107"/>
        <v>18626.988752273068</v>
      </c>
      <c r="W17" s="15">
        <f t="shared" si="108"/>
        <v>24174.741730752889</v>
      </c>
      <c r="X17" s="14">
        <f t="shared" si="109"/>
        <v>1057.6261067056976</v>
      </c>
      <c r="Y17" s="15">
        <f t="shared" si="110"/>
        <v>10166.687378256092</v>
      </c>
      <c r="Z17" s="14">
        <f t="shared" si="111"/>
        <v>21025.465451129909</v>
      </c>
      <c r="AA17" s="15">
        <f t="shared" si="112"/>
        <v>10462.516898470152</v>
      </c>
      <c r="AB17" s="14">
        <f t="shared" si="113"/>
        <v>1013.3511226105942</v>
      </c>
      <c r="AC17" s="15">
        <f t="shared" si="114"/>
        <v>18607.671259256833</v>
      </c>
      <c r="AD17" s="14">
        <f t="shared" si="115"/>
        <v>32808.173222353413</v>
      </c>
      <c r="AE17" s="15">
        <f t="shared" si="116"/>
        <v>6174.8362376967816</v>
      </c>
      <c r="AF17" s="14">
        <f t="shared" si="117"/>
        <v>34847.764815695584</v>
      </c>
      <c r="AG17" s="15">
        <f t="shared" si="118"/>
        <v>2992.5623275859934</v>
      </c>
      <c r="AH17" s="15">
        <f t="shared" si="119"/>
        <v>2112.9102582688306</v>
      </c>
      <c r="AI17" s="64">
        <f t="shared" si="120"/>
        <v>9536.5560072205626</v>
      </c>
      <c r="AJ17" s="14">
        <f t="shared" si="121"/>
        <v>13020.590362755627</v>
      </c>
      <c r="AK17" s="15">
        <f t="shared" si="122"/>
        <v>8886.0267496232282</v>
      </c>
      <c r="AL17" s="14">
        <f t="shared" si="123"/>
        <v>17892.86055948148</v>
      </c>
      <c r="AM17" s="15">
        <f t="shared" si="124"/>
        <v>10779.109284834618</v>
      </c>
      <c r="AN17" s="14">
        <f t="shared" si="125"/>
        <v>321.37283105866447</v>
      </c>
      <c r="AO17" s="15">
        <f t="shared" si="126"/>
        <v>11963.636030958953</v>
      </c>
      <c r="AP17" s="14">
        <f t="shared" si="127"/>
        <v>13064.313909819755</v>
      </c>
      <c r="AQ17" s="15">
        <f t="shared" si="128"/>
        <v>13613.157885474962</v>
      </c>
      <c r="AR17" s="14">
        <f t="shared" si="129"/>
        <v>1229.7128579319583</v>
      </c>
      <c r="AS17" s="15">
        <f t="shared" si="130"/>
        <v>7459.7060379300128</v>
      </c>
      <c r="AT17" s="14">
        <f t="shared" si="131"/>
        <v>936.5585356195005</v>
      </c>
      <c r="AU17" s="15">
        <f t="shared" si="132"/>
        <v>32880.502738752621</v>
      </c>
      <c r="AV17" s="14">
        <f t="shared" si="61"/>
        <v>10164.129873295118</v>
      </c>
      <c r="AW17" s="10">
        <f t="shared" si="62"/>
        <v>24194.451312272646</v>
      </c>
      <c r="AY17"/>
      <c r="AZ17" s="1"/>
      <c r="BA17" s="1"/>
      <c r="BB17" s="1"/>
      <c r="BC17" s="1"/>
      <c r="BJ17" s="1"/>
    </row>
    <row r="18" spans="1:62" x14ac:dyDescent="0.25">
      <c r="A18" s="8"/>
      <c r="B18" s="17" t="s">
        <v>93</v>
      </c>
      <c r="C18" s="21">
        <v>1457851.8940456505</v>
      </c>
      <c r="D18" s="59">
        <v>16584.62</v>
      </c>
      <c r="E18" s="10">
        <f t="shared" ref="E18:E28" si="133">0.5*C18</f>
        <v>728925.94702282525</v>
      </c>
      <c r="F18" s="59">
        <f t="shared" ref="F18:F26" si="134">(C18*0.2)+D18</f>
        <v>308154.99880913011</v>
      </c>
      <c r="G18" s="10">
        <f t="shared" ref="G18:G28" si="135">0.3*C18</f>
        <v>437355.56821369514</v>
      </c>
      <c r="H18" s="11"/>
      <c r="I18" s="38">
        <f>G18-H18</f>
        <v>437355.56821369514</v>
      </c>
      <c r="J18" s="13">
        <f t="shared" ref="J18:J28" si="136">I18*0.016799535986</f>
        <v>7347.3706068834499</v>
      </c>
      <c r="K18" s="11">
        <f t="shared" ref="K18:K28" si="137">I18*0.040537116218</f>
        <v>17729.133497267987</v>
      </c>
      <c r="L18" s="14">
        <f t="shared" ref="L18:L28" si="138">I18*0.026283332826</f>
        <v>11495.161962664895</v>
      </c>
      <c r="M18" s="15">
        <f>I18*0.036779545807</f>
        <v>16085.739155062112</v>
      </c>
      <c r="N18" s="16">
        <f t="shared" ref="N18:N28" si="139">I18*0.052042873123</f>
        <v>22761.240346182909</v>
      </c>
      <c r="O18" s="15">
        <f>I18*0.0273939973</f>
        <v>11980.917254785931</v>
      </c>
      <c r="P18" s="14">
        <f t="shared" ref="P18:P28" si="140">I18*0.016113929261</f>
        <v>7047.5166880999432</v>
      </c>
      <c r="Q18" s="15">
        <f>I18*0.008369049504</f>
        <v>3660.2504012304635</v>
      </c>
      <c r="R18" s="14">
        <f t="shared" ref="R18:R28" si="141">I18*0.035025701951</f>
        <v>15318.685778863135</v>
      </c>
      <c r="S18" s="15">
        <f t="shared" ref="S18:S28" si="142">I18*0.012353278939</f>
        <v>5402.7753296686178</v>
      </c>
      <c r="T18" s="14">
        <f t="shared" ref="T18:T28" si="143">I18*0.019717572454</f>
        <v>8623.5901044138736</v>
      </c>
      <c r="U18" s="15">
        <f t="shared" ref="U18:U28" si="144">I18*0.014582940317</f>
        <v>6377.9301485679389</v>
      </c>
      <c r="V18" s="14">
        <f t="shared" ref="V18:V28" si="145">I18*0.038494340111</f>
        <v>16835.713992257643</v>
      </c>
      <c r="W18" s="15">
        <f t="shared" ref="W18:W28" si="146">I18*0.049959268385</f>
        <v>21849.964212062168</v>
      </c>
      <c r="X18" s="14">
        <f t="shared" ref="X18:X28" si="147">I18*0.002185679049</f>
        <v>955.91890240816383</v>
      </c>
      <c r="Y18" s="15">
        <f t="shared" ref="Y18:Y28" si="148">I18*0.021010369789</f>
        <v>9189.0022174479491</v>
      </c>
      <c r="Z18" s="14">
        <f t="shared" ref="Z18:Z28" si="149">I18*0.043451006968</f>
        <v>19003.539841946866</v>
      </c>
      <c r="AA18" s="15">
        <f>I18*0.021621727981</f>
        <v>9456.3831268922058</v>
      </c>
      <c r="AB18" s="14">
        <f t="shared" ref="AB18:AB28" si="150">I18*0.00209418083</f>
        <v>915.90164684687761</v>
      </c>
      <c r="AC18" s="15">
        <f>I18*0.038454418782</f>
        <v>16818.254176728999</v>
      </c>
      <c r="AD18" s="14">
        <f t="shared" ref="AD18:AD28" si="151">I18*0.067801027597</f>
        <v>29653.156950158362</v>
      </c>
      <c r="AE18" s="15">
        <f>I18*0.012760851978</f>
        <v>5581.0296677290462</v>
      </c>
      <c r="AF18" s="14">
        <f t="shared" ref="AF18:AF28" si="152">I18*0.072016026249</f>
        <v>31496.610080623777</v>
      </c>
      <c r="AG18" s="15">
        <f t="shared" ref="AG18:AG28" si="153">I18*0.006184398003</f>
        <v>2704.7809026617065</v>
      </c>
      <c r="AH18" s="15">
        <f>I18*0.004366518238</f>
        <v>1909.7210650959528</v>
      </c>
      <c r="AI18" s="64">
        <f>I18*0.019708146889</f>
        <v>8619.4677810775629</v>
      </c>
      <c r="AJ18" s="14">
        <f>I18*0.026908215844</f>
        <v>11768.458030069374</v>
      </c>
      <c r="AK18" s="15">
        <f>I18*0.01836376993</f>
        <v>8031.4970322807185</v>
      </c>
      <c r="AL18" s="14">
        <f>I18*0.036977198467</f>
        <v>16172.18364648536</v>
      </c>
      <c r="AM18" s="15">
        <f t="shared" ref="AM18:AM28" si="154">I18*0.022275994495</f>
        <v>9742.5302298858696</v>
      </c>
      <c r="AN18" s="14">
        <f t="shared" ref="AN18:AN28" si="155">I18*0.000664145731</f>
        <v>290.46783355820492</v>
      </c>
      <c r="AO18" s="15">
        <f>I18*0.024723925078</f>
        <v>10813.146300961516</v>
      </c>
      <c r="AP18" s="14">
        <f>I18*0.026998574469</f>
        <v>11807.976877849258</v>
      </c>
      <c r="AQ18" s="15">
        <f>I18*0.028132809688</f>
        <v>12304.040966542987</v>
      </c>
      <c r="AR18" s="14">
        <f t="shared" ref="AR18:AR28" si="156">I18*0.002541311729</f>
        <v>1111.456835244923</v>
      </c>
      <c r="AS18" s="15">
        <f t="shared" ref="AS18:AS28" si="157">I18*0.015416150467</f>
        <v>6742.3392471626066</v>
      </c>
      <c r="AT18" s="14">
        <f t="shared" ref="AT18:AT28" si="158">I18*0.001935482073</f>
        <v>846.49386180433555</v>
      </c>
      <c r="AU18" s="15">
        <f t="shared" ref="AU18:AU28" si="159">I18*0.067950503019</f>
        <v>29718.530858281156</v>
      </c>
      <c r="AV18" s="14">
        <f t="shared" ref="AV18:AV28" si="160">I18*0.021005084476</f>
        <v>9186.6906563776465</v>
      </c>
      <c r="AW18" s="10">
        <f t="shared" ref="AW18:AW28" si="161">0.03*E18</f>
        <v>21867.778410684758</v>
      </c>
      <c r="AY18"/>
      <c r="AZ18" s="1"/>
      <c r="BA18" s="1"/>
      <c r="BB18" s="1"/>
      <c r="BC18" s="1"/>
      <c r="BJ18" s="1"/>
    </row>
    <row r="19" spans="1:62" x14ac:dyDescent="0.25">
      <c r="A19" s="8"/>
      <c r="B19" s="17" t="s">
        <v>94</v>
      </c>
      <c r="C19" s="21">
        <v>2103341</v>
      </c>
      <c r="D19" s="59"/>
      <c r="E19" s="10">
        <f t="shared" si="133"/>
        <v>1051670.5</v>
      </c>
      <c r="F19" s="59">
        <f t="shared" si="134"/>
        <v>420668.2</v>
      </c>
      <c r="G19" s="10">
        <f t="shared" si="135"/>
        <v>631002.29999999993</v>
      </c>
      <c r="H19" s="11"/>
      <c r="I19" s="38">
        <f>G19-H19</f>
        <v>631002.29999999993</v>
      </c>
      <c r="J19" s="13">
        <f t="shared" si="136"/>
        <v>10600.545846098767</v>
      </c>
      <c r="K19" s="11">
        <f t="shared" si="137"/>
        <v>25579.013568925297</v>
      </c>
      <c r="L19" s="14">
        <f t="shared" si="138"/>
        <v>16584.843464871497</v>
      </c>
      <c r="M19" s="15">
        <f>I19*0.036779545807</f>
        <v>23207.977997172351</v>
      </c>
      <c r="N19" s="16">
        <f t="shared" si="139"/>
        <v>32839.172639221179</v>
      </c>
      <c r="O19" s="15">
        <f>I19*0.0273939973</f>
        <v>17285.67530249379</v>
      </c>
      <c r="P19" s="14">
        <f t="shared" si="140"/>
        <v>10167.926425728298</v>
      </c>
      <c r="Q19" s="15">
        <f>I19*0.008369049504</f>
        <v>5280.889485837858</v>
      </c>
      <c r="R19" s="14">
        <f t="shared" si="141"/>
        <v>22101.298490195484</v>
      </c>
      <c r="S19" s="15">
        <f t="shared" si="142"/>
        <v>7794.9474230505584</v>
      </c>
      <c r="T19" s="14">
        <f t="shared" si="143"/>
        <v>12441.833568890643</v>
      </c>
      <c r="U19" s="15">
        <f t="shared" si="144"/>
        <v>9201.8688807897288</v>
      </c>
      <c r="V19" s="14">
        <f t="shared" si="145"/>
        <v>24290.017147023253</v>
      </c>
      <c r="W19" s="15">
        <f t="shared" si="146"/>
        <v>31524.413257252279</v>
      </c>
      <c r="X19" s="14">
        <f t="shared" si="147"/>
        <v>1379.1685069808125</v>
      </c>
      <c r="Y19" s="15">
        <f t="shared" si="148"/>
        <v>13257.591660709515</v>
      </c>
      <c r="Z19" s="14">
        <f t="shared" si="149"/>
        <v>27417.685334124024</v>
      </c>
      <c r="AA19" s="15">
        <f>I19*0.021621727981</f>
        <v>13643.360085985354</v>
      </c>
      <c r="AB19" s="14">
        <f t="shared" si="150"/>
        <v>1321.4329203459088</v>
      </c>
      <c r="AC19" s="15">
        <f>I19*0.038454418782</f>
        <v>24264.826696605192</v>
      </c>
      <c r="AD19" s="14">
        <f t="shared" si="151"/>
        <v>42782.604356070471</v>
      </c>
      <c r="AE19" s="15">
        <f>I19*0.012760851978</f>
        <v>8052.1269480775491</v>
      </c>
      <c r="AF19" s="14">
        <f t="shared" si="152"/>
        <v>45442.278199979366</v>
      </c>
      <c r="AG19" s="15">
        <f t="shared" si="153"/>
        <v>3902.3693640084066</v>
      </c>
      <c r="AH19" s="15">
        <f>I19*0.004366518238</f>
        <v>2755.2830511699467</v>
      </c>
      <c r="AI19" s="64">
        <f>I19*0.019708146889</f>
        <v>12435.886015696844</v>
      </c>
      <c r="AJ19" s="14">
        <f>I19*0.026908215844</f>
        <v>16979.146086460441</v>
      </c>
      <c r="AK19" s="15">
        <f>I19*0.01836376993</f>
        <v>11587.581062500838</v>
      </c>
      <c r="AL19" s="14">
        <f>I19*0.036977198467</f>
        <v>23332.697280233471</v>
      </c>
      <c r="AM19" s="15">
        <f t="shared" si="154"/>
        <v>14056.203761132338</v>
      </c>
      <c r="AN19" s="14">
        <f t="shared" si="155"/>
        <v>419.07748379618124</v>
      </c>
      <c r="AO19" s="15">
        <f>I19*0.024723925078</f>
        <v>15600.853589245677</v>
      </c>
      <c r="AP19" s="14">
        <f>I19*0.026998574469</f>
        <v>17036.162586660277</v>
      </c>
      <c r="AQ19" s="15">
        <f>I19*0.028132809688</f>
        <v>17751.86761859028</v>
      </c>
      <c r="AR19" s="14">
        <f t="shared" si="156"/>
        <v>1603.5735460159767</v>
      </c>
      <c r="AS19" s="15">
        <f t="shared" si="157"/>
        <v>9727.6264018230722</v>
      </c>
      <c r="AT19" s="14">
        <f t="shared" si="158"/>
        <v>1221.2936396717678</v>
      </c>
      <c r="AU19" s="15">
        <f t="shared" si="159"/>
        <v>42876.923691145945</v>
      </c>
      <c r="AV19" s="14">
        <f t="shared" si="160"/>
        <v>13254.256616050294</v>
      </c>
      <c r="AW19" s="10">
        <f t="shared" si="161"/>
        <v>31550.114999999998</v>
      </c>
      <c r="AY19"/>
      <c r="AZ19" s="1"/>
      <c r="BA19" s="1"/>
      <c r="BB19" s="1"/>
      <c r="BC19" s="1"/>
      <c r="BJ19" s="1"/>
    </row>
    <row r="20" spans="1:62" x14ac:dyDescent="0.25">
      <c r="A20" s="8"/>
      <c r="B20" s="17" t="s">
        <v>99</v>
      </c>
      <c r="C20" s="21">
        <v>1388346</v>
      </c>
      <c r="D20" s="59">
        <v>26593.77</v>
      </c>
      <c r="E20" s="10">
        <f t="shared" si="133"/>
        <v>694173</v>
      </c>
      <c r="F20" s="59">
        <f t="shared" si="134"/>
        <v>304262.97000000003</v>
      </c>
      <c r="G20" s="10">
        <f t="shared" si="135"/>
        <v>416503.8</v>
      </c>
      <c r="H20" s="11"/>
      <c r="I20" s="12">
        <f>G20-H20</f>
        <v>416503.8</v>
      </c>
      <c r="J20" s="13">
        <f t="shared" si="136"/>
        <v>6997.0705764057475</v>
      </c>
      <c r="K20" s="11">
        <f t="shared" si="137"/>
        <v>16883.862945838628</v>
      </c>
      <c r="L20" s="14">
        <f t="shared" si="138"/>
        <v>10947.107998693738</v>
      </c>
      <c r="M20" s="15">
        <f>I20*0.036779545807</f>
        <v>15318.820590889565</v>
      </c>
      <c r="N20" s="16">
        <f t="shared" si="139"/>
        <v>21676.054418647367</v>
      </c>
      <c r="O20" s="15">
        <f>I20*0.0273939973</f>
        <v>11409.70397263974</v>
      </c>
      <c r="P20" s="14">
        <f t="shared" si="140"/>
        <v>6711.5127701376914</v>
      </c>
      <c r="Q20" s="15">
        <f>I20*0.008369049504</f>
        <v>3485.7409208041149</v>
      </c>
      <c r="R20" s="14">
        <f t="shared" si="141"/>
        <v>14588.337960258914</v>
      </c>
      <c r="S20" s="15">
        <f t="shared" si="142"/>
        <v>5145.1876205534682</v>
      </c>
      <c r="T20" s="14">
        <f t="shared" si="143"/>
        <v>8212.4438538663253</v>
      </c>
      <c r="U20" s="15">
        <f t="shared" si="144"/>
        <v>6073.8500572037046</v>
      </c>
      <c r="V20" s="14">
        <f t="shared" si="145"/>
        <v>16033.038934723923</v>
      </c>
      <c r="W20" s="15">
        <f t="shared" si="146"/>
        <v>20808.225127572361</v>
      </c>
      <c r="X20" s="14">
        <f t="shared" si="147"/>
        <v>910.34362948888622</v>
      </c>
      <c r="Y20" s="15">
        <f t="shared" si="148"/>
        <v>8750.8988565236978</v>
      </c>
      <c r="Z20" s="14">
        <f t="shared" si="149"/>
        <v>18097.509515998478</v>
      </c>
      <c r="AA20" s="15">
        <f>I20*0.021621727981</f>
        <v>9005.5318666528274</v>
      </c>
      <c r="AB20" s="14">
        <f t="shared" si="150"/>
        <v>872.23427358215395</v>
      </c>
      <c r="AC20" s="15">
        <f>I20*0.038454418782</f>
        <v>16016.411549494369</v>
      </c>
      <c r="AD20" s="14">
        <f t="shared" si="151"/>
        <v>28239.38563805537</v>
      </c>
      <c r="AE20" s="15">
        <f>I20*0.012760851978</f>
        <v>5314.9433400745165</v>
      </c>
      <c r="AF20" s="14">
        <f t="shared" si="152"/>
        <v>29994.948593608246</v>
      </c>
      <c r="AG20" s="15">
        <f t="shared" si="153"/>
        <v>2575.8252689619112</v>
      </c>
      <c r="AH20" s="15">
        <f>I20*0.004366518238</f>
        <v>1818.6714388963042</v>
      </c>
      <c r="AI20" s="64">
        <f>I20*0.019708146889</f>
        <v>8208.5180702266789</v>
      </c>
      <c r="AJ20" s="14">
        <f>I20*0.026908215844</f>
        <v>11207.374150246207</v>
      </c>
      <c r="AK20" s="15">
        <f>I20*0.01836376993</f>
        <v>7648.5799581707333</v>
      </c>
      <c r="AL20" s="14">
        <f>I20*0.036977198467</f>
        <v>15401.143674859673</v>
      </c>
      <c r="AM20" s="15">
        <f t="shared" si="154"/>
        <v>9278.0363559465804</v>
      </c>
      <c r="AN20" s="14">
        <f t="shared" si="155"/>
        <v>276.61922071527778</v>
      </c>
      <c r="AO20" s="15">
        <f>I20*0.024723925078</f>
        <v>10297.608745902297</v>
      </c>
      <c r="AP20" s="14">
        <f>I20*0.026998574469</f>
        <v>11245.008860921482</v>
      </c>
      <c r="AQ20" s="15">
        <f>I20*0.028132809688</f>
        <v>11717.422139728813</v>
      </c>
      <c r="AR20" s="14">
        <f t="shared" si="156"/>
        <v>1058.4659921130703</v>
      </c>
      <c r="AS20" s="15">
        <f t="shared" si="157"/>
        <v>6420.8852508772743</v>
      </c>
      <c r="AT20" s="14">
        <f t="shared" si="158"/>
        <v>806.13563823637742</v>
      </c>
      <c r="AU20" s="15">
        <f t="shared" si="159"/>
        <v>28301.642719324973</v>
      </c>
      <c r="AV20" s="14">
        <f t="shared" si="160"/>
        <v>8748.6975035750093</v>
      </c>
      <c r="AW20" s="10">
        <f t="shared" si="161"/>
        <v>20825.189999999999</v>
      </c>
      <c r="AY20"/>
      <c r="AZ20" s="1"/>
      <c r="BA20" s="1"/>
      <c r="BB20" s="1"/>
      <c r="BC20" s="1"/>
      <c r="BJ20" s="1"/>
    </row>
    <row r="21" spans="1:62" x14ac:dyDescent="0.25">
      <c r="A21" s="8"/>
      <c r="B21" s="17" t="s">
        <v>95</v>
      </c>
      <c r="C21" s="9">
        <v>1792778.8232260563</v>
      </c>
      <c r="D21" s="59">
        <v>25351.17</v>
      </c>
      <c r="E21" s="10">
        <f t="shared" si="133"/>
        <v>896389.41161302815</v>
      </c>
      <c r="F21" s="59">
        <f t="shared" si="134"/>
        <v>383906.93464521127</v>
      </c>
      <c r="G21" s="10">
        <f t="shared" si="135"/>
        <v>537833.64696781687</v>
      </c>
      <c r="H21" s="11"/>
      <c r="I21" s="38">
        <f>G21-H21</f>
        <v>537833.64696781687</v>
      </c>
      <c r="J21" s="13">
        <f t="shared" si="136"/>
        <v>9035.3557067174606</v>
      </c>
      <c r="K21" s="11">
        <f t="shared" si="137"/>
        <v>21802.225053085174</v>
      </c>
      <c r="L21" s="14">
        <f t="shared" si="138"/>
        <v>14136.060748276517</v>
      </c>
      <c r="M21" s="15">
        <f>I21*0.036779545807</f>
        <v>19781.277255198685</v>
      </c>
      <c r="N21" s="16">
        <f t="shared" si="139"/>
        <v>27990.40825042647</v>
      </c>
      <c r="O21" s="15">
        <f>I21*0.0273939973</f>
        <v>14733.413472885528</v>
      </c>
      <c r="P21" s="14">
        <f t="shared" si="140"/>
        <v>8666.6133414250471</v>
      </c>
      <c r="Q21" s="15">
        <f>I21*0.008369049504</f>
        <v>4501.1564163905186</v>
      </c>
      <c r="R21" s="14">
        <f t="shared" si="141"/>
        <v>18838.00101791411</v>
      </c>
      <c r="S21" s="15">
        <f t="shared" si="142"/>
        <v>6644.0090637730927</v>
      </c>
      <c r="T21" s="14">
        <f t="shared" si="143"/>
        <v>10604.773902286986</v>
      </c>
      <c r="U21" s="15">
        <f t="shared" si="144"/>
        <v>7843.1959742061217</v>
      </c>
      <c r="V21" s="14">
        <f t="shared" si="145"/>
        <v>20703.551329518647</v>
      </c>
      <c r="W21" s="15">
        <f t="shared" si="146"/>
        <v>26869.775515348505</v>
      </c>
      <c r="X21" s="14">
        <f t="shared" si="147"/>
        <v>1175.5317340248198</v>
      </c>
      <c r="Y21" s="15">
        <f t="shared" si="148"/>
        <v>11300.083807760311</v>
      </c>
      <c r="Z21" s="14">
        <f t="shared" si="149"/>
        <v>23369.413542023463</v>
      </c>
      <c r="AA21" s="15">
        <f>I21*0.021621727981</f>
        <v>11628.892813767321</v>
      </c>
      <c r="AB21" s="14">
        <f t="shared" si="150"/>
        <v>1126.3209132089896</v>
      </c>
      <c r="AC21" s="15">
        <f>I21*0.038454418782</f>
        <v>20682.080295550772</v>
      </c>
      <c r="AD21" s="14">
        <f t="shared" si="151"/>
        <v>36465.673940660112</v>
      </c>
      <c r="AE21" s="15">
        <f>I21*0.012760851978</f>
        <v>6863.21555774422</v>
      </c>
      <c r="AF21" s="14">
        <f t="shared" si="152"/>
        <v>38732.642037629696</v>
      </c>
      <c r="AG21" s="15">
        <f t="shared" si="153"/>
        <v>3326.1773322539739</v>
      </c>
      <c r="AH21" s="15">
        <f>I21*0.004366518238</f>
        <v>2348.4604284950256</v>
      </c>
      <c r="AI21" s="64">
        <f>I21*0.019708146889</f>
        <v>10599.704516288304</v>
      </c>
      <c r="AJ21" s="14">
        <f>I21*0.026908215844</f>
        <v>14472.143860775714</v>
      </c>
      <c r="AK21" s="15">
        <f>I21*0.01836376993</f>
        <v>9876.6533535298313</v>
      </c>
      <c r="AL21" s="14">
        <f>I21*0.036977198467</f>
        <v>19887.581506159375</v>
      </c>
      <c r="AM21" s="15">
        <f t="shared" si="154"/>
        <v>11980.779359080861</v>
      </c>
      <c r="AN21" s="14">
        <f t="shared" si="155"/>
        <v>357.19992062183667</v>
      </c>
      <c r="AO21" s="15">
        <f>I21*0.024723925078</f>
        <v>13297.358792059806</v>
      </c>
      <c r="AP21" s="14">
        <f>I21*0.026998574469</f>
        <v>14520.741769594459</v>
      </c>
      <c r="AQ21" s="15">
        <f>I21*0.028132809688</f>
        <v>15130.771633948569</v>
      </c>
      <c r="AR21" s="14">
        <f t="shared" si="156"/>
        <v>1366.8029552901585</v>
      </c>
      <c r="AS21" s="15">
        <f t="shared" si="157"/>
        <v>8291.3244278712227</v>
      </c>
      <c r="AT21" s="14">
        <f t="shared" si="158"/>
        <v>1040.9673819624204</v>
      </c>
      <c r="AU21" s="15">
        <f t="shared" si="159"/>
        <v>36546.066852006421</v>
      </c>
      <c r="AV21" s="14">
        <f t="shared" si="160"/>
        <v>11297.241188594155</v>
      </c>
      <c r="AW21" s="10">
        <f t="shared" si="161"/>
        <v>26891.682348390845</v>
      </c>
      <c r="AY21"/>
      <c r="AZ21" s="1"/>
      <c r="BA21" s="1"/>
      <c r="BB21" s="1"/>
      <c r="BC21" s="1"/>
      <c r="BJ21" s="1"/>
    </row>
    <row r="22" spans="1:62" x14ac:dyDescent="0.25">
      <c r="A22" s="17"/>
      <c r="B22" s="17" t="s">
        <v>39</v>
      </c>
      <c r="C22" s="18">
        <v>186750.393025</v>
      </c>
      <c r="D22" s="59"/>
      <c r="E22" s="10">
        <f t="shared" si="133"/>
        <v>93375.196512499999</v>
      </c>
      <c r="F22" s="59">
        <f t="shared" si="134"/>
        <v>37350.078605000002</v>
      </c>
      <c r="G22" s="10">
        <f t="shared" si="135"/>
        <v>56025.117907499996</v>
      </c>
      <c r="H22" s="11">
        <f>0.07*G22</f>
        <v>3921.7582535250003</v>
      </c>
      <c r="I22" s="12">
        <f>G22-H22</f>
        <v>52103.359653975</v>
      </c>
      <c r="J22" s="13">
        <f t="shared" si="136"/>
        <v>875.3122654984536</v>
      </c>
      <c r="K22" s="11">
        <f t="shared" si="137"/>
        <v>2112.1199456414365</v>
      </c>
      <c r="L22" s="14">
        <f t="shared" si="138"/>
        <v>1369.4499431382051</v>
      </c>
      <c r="M22" s="15">
        <f>(I6*0.036779545807)/4+I22*0.036779545807</f>
        <v>48212.582969095602</v>
      </c>
      <c r="N22" s="16">
        <f t="shared" si="139"/>
        <v>2711.6085357538582</v>
      </c>
      <c r="O22" s="15">
        <f>(I6*0.0273939973)/4+I22*0.0273939973</f>
        <v>35909.507273743016</v>
      </c>
      <c r="P22" s="14">
        <f t="shared" si="140"/>
        <v>839.5898517245945</v>
      </c>
      <c r="Q22" s="15">
        <f>(I6*0.008369049504)/4+I22*0.008369049504</f>
        <v>10970.594789326467</v>
      </c>
      <c r="R22" s="14">
        <f t="shared" si="141"/>
        <v>1824.9567458858869</v>
      </c>
      <c r="S22" s="15">
        <f t="shared" si="142"/>
        <v>643.64733546459172</v>
      </c>
      <c r="T22" s="14">
        <f t="shared" si="143"/>
        <v>1027.3517690740725</v>
      </c>
      <c r="U22" s="15">
        <f t="shared" si="144"/>
        <v>759.82018414910317</v>
      </c>
      <c r="V22" s="14">
        <f t="shared" si="145"/>
        <v>2005.684447445869</v>
      </c>
      <c r="W22" s="15">
        <f t="shared" si="146"/>
        <v>2603.0457287131176</v>
      </c>
      <c r="X22" s="14">
        <f t="shared" si="147"/>
        <v>113.88122157820504</v>
      </c>
      <c r="Y22" s="15">
        <f t="shared" si="148"/>
        <v>1094.7108535792779</v>
      </c>
      <c r="Z22" s="14">
        <f t="shared" si="149"/>
        <v>2263.9434433810779</v>
      </c>
      <c r="AA22" s="15">
        <f>(I6*0.021621727981)/4+I22*0.021621727981</f>
        <v>28342.909933944266</v>
      </c>
      <c r="AB22" s="14">
        <f t="shared" si="150"/>
        <v>109.11385696594988</v>
      </c>
      <c r="AC22" s="15">
        <f>(I6*0.038454418782)/4+I22*0.038454418782</f>
        <v>50408.095461109973</v>
      </c>
      <c r="AD22" s="14">
        <f t="shared" si="151"/>
        <v>3532.6613257955755</v>
      </c>
      <c r="AE22" s="15">
        <f>(I6*0.012760851978)/4+I22*0.012760851978</f>
        <v>16727.602835937672</v>
      </c>
      <c r="AF22" s="14">
        <f t="shared" si="152"/>
        <v>3752.2769165017512</v>
      </c>
      <c r="AG22" s="15">
        <f t="shared" si="153"/>
        <v>322.2279133936338</v>
      </c>
      <c r="AH22" s="15">
        <f>(I6*0.004366518238)/4+I22*0.004366518238</f>
        <v>5723.8641265541964</v>
      </c>
      <c r="AI22" s="64">
        <f>(I6*0.019708146889)/4+I22*0.019708146889</f>
        <v>25834.486158124186</v>
      </c>
      <c r="AJ22" s="14">
        <f>(I6*0.026908215844)/4+I22*0.026908215844</f>
        <v>35272.719128637902</v>
      </c>
      <c r="AK22" s="15">
        <f>(I6*0.01836376993)/4+I22*0.01836376993</f>
        <v>24072.205405184814</v>
      </c>
      <c r="AL22" s="14">
        <f>(I6*0.036977198467)/4+I22*0.036977198467</f>
        <v>48471.676578334751</v>
      </c>
      <c r="AM22" s="15">
        <f t="shared" si="154"/>
        <v>1160.6541528229523</v>
      </c>
      <c r="AN22" s="14">
        <f t="shared" si="155"/>
        <v>34.604223884945135</v>
      </c>
      <c r="AO22" s="15">
        <f>(I6*0.024723925078)/4+I22*0.024723925078</f>
        <v>32409.434727655404</v>
      </c>
      <c r="AP22" s="14">
        <f>(I6*0.026998574469)/4+I22*0.026998574469</f>
        <v>35391.166015601819</v>
      </c>
      <c r="AQ22" s="15">
        <f>(I6*0.028132809688)/4+I22*0.028132809688</f>
        <v>36877.981809615783</v>
      </c>
      <c r="AR22" s="14">
        <f t="shared" si="156"/>
        <v>132.41087900895207</v>
      </c>
      <c r="AS22" s="15">
        <f t="shared" si="157"/>
        <v>803.23323226189564</v>
      </c>
      <c r="AT22" s="14">
        <f t="shared" si="158"/>
        <v>100.8451185533401</v>
      </c>
      <c r="AU22" s="15">
        <f t="shared" si="159"/>
        <v>3540.4494974674712</v>
      </c>
      <c r="AV22" s="14">
        <f t="shared" si="160"/>
        <v>1094.4354710151549</v>
      </c>
      <c r="AW22" s="10">
        <f t="shared" si="161"/>
        <v>2801.2558953749999</v>
      </c>
      <c r="AY22"/>
      <c r="AZ22" s="1"/>
      <c r="BA22" s="1"/>
      <c r="BB22" s="1"/>
      <c r="BC22" s="1"/>
      <c r="BJ22" s="1"/>
    </row>
    <row r="23" spans="1:62" x14ac:dyDescent="0.25">
      <c r="A23" s="8"/>
      <c r="B23" s="17" t="s">
        <v>100</v>
      </c>
      <c r="C23" s="9">
        <v>1429294.116792623</v>
      </c>
      <c r="D23" s="59">
        <v>25351.18</v>
      </c>
      <c r="E23" s="10">
        <f t="shared" si="133"/>
        <v>714647.05839631148</v>
      </c>
      <c r="F23" s="59">
        <f t="shared" si="134"/>
        <v>311210.00335852458</v>
      </c>
      <c r="G23" s="10">
        <f t="shared" si="135"/>
        <v>428788.23503778689</v>
      </c>
      <c r="H23" s="11"/>
      <c r="I23" s="12">
        <f t="shared" ref="I23" si="162">G23-H23</f>
        <v>428788.23503778689</v>
      </c>
      <c r="J23" s="13">
        <f t="shared" si="136"/>
        <v>7203.4433848907274</v>
      </c>
      <c r="K23" s="11">
        <f t="shared" si="137"/>
        <v>17381.838516637865</v>
      </c>
      <c r="L23" s="14">
        <f t="shared" si="138"/>
        <v>11269.983893371267</v>
      </c>
      <c r="M23" s="15">
        <f t="shared" ref="M23:M28" si="163">I23*0.036779545807</f>
        <v>15770.636532074965</v>
      </c>
      <c r="N23" s="16">
        <f t="shared" si="139"/>
        <v>22315.371712706648</v>
      </c>
      <c r="O23" s="15">
        <f t="shared" ref="O23:O28" si="164">I23*0.0273939973</f>
        <v>11746.2237528969</v>
      </c>
      <c r="P23" s="14">
        <f t="shared" si="140"/>
        <v>6909.4632873479386</v>
      </c>
      <c r="Q23" s="15">
        <f t="shared" ref="Q23:Q28" si="165">I23*0.008369049504</f>
        <v>3588.5499657640257</v>
      </c>
      <c r="R23" s="14">
        <f t="shared" si="141"/>
        <v>15018.608920528859</v>
      </c>
      <c r="S23" s="15">
        <f t="shared" si="142"/>
        <v>5296.9406731832742</v>
      </c>
      <c r="T23" s="14">
        <f t="shared" si="143"/>
        <v>8454.663091780345</v>
      </c>
      <c r="U23" s="15">
        <f t="shared" si="144"/>
        <v>6252.9932401878141</v>
      </c>
      <c r="V23" s="14">
        <f t="shared" si="145"/>
        <v>16505.920155139978</v>
      </c>
      <c r="W23" s="15">
        <f t="shared" si="146"/>
        <v>21421.946514583255</v>
      </c>
      <c r="X23" s="14">
        <f t="shared" si="147"/>
        <v>937.19346177977854</v>
      </c>
      <c r="Y23" s="15">
        <f t="shared" si="148"/>
        <v>9008.9993793165504</v>
      </c>
      <c r="Z23" s="14">
        <f t="shared" si="149"/>
        <v>18631.280588423298</v>
      </c>
      <c r="AA23" s="15">
        <f t="shared" ref="AA23:AA28" si="166">I23*0.021621727981</f>
        <v>9271.1425794401221</v>
      </c>
      <c r="AB23" s="14">
        <f t="shared" si="150"/>
        <v>897.96010194566759</v>
      </c>
      <c r="AC23" s="15">
        <f t="shared" ref="AC23:AC28" si="167">I23*0.038454418782</f>
        <v>16488.802358937701</v>
      </c>
      <c r="AD23" s="14">
        <f t="shared" si="151"/>
        <v>29072.282957065912</v>
      </c>
      <c r="AE23" s="15">
        <f t="shared" ref="AE23:AE28" si="168">I23*0.012760851978</f>
        <v>5471.7031972250716</v>
      </c>
      <c r="AF23" s="14">
        <f t="shared" si="152"/>
        <v>30879.624789743641</v>
      </c>
      <c r="AG23" s="15">
        <f t="shared" si="153"/>
        <v>2651.7971044775841</v>
      </c>
      <c r="AH23" s="15">
        <f t="shared" ref="AH23:AH28" si="169">I23*0.004366518238</f>
        <v>1872.3116485323269</v>
      </c>
      <c r="AI23" s="64">
        <f t="shared" ref="AI23:AI28" si="170">I23*0.019708146889</f>
        <v>8450.6215203997617</v>
      </c>
      <c r="AJ23" s="14">
        <f t="shared" ref="AJ23:AJ28" si="171">I23*0.026908215844</f>
        <v>11537.926379764573</v>
      </c>
      <c r="AK23" s="15">
        <f t="shared" ref="AK23:AK28" si="172">I23*0.01836376993</f>
        <v>7874.1684969246826</v>
      </c>
      <c r="AL23" s="14">
        <f t="shared" ref="AL23:AL28" si="173">I23*0.036977198467</f>
        <v>15855.387667306888</v>
      </c>
      <c r="AM23" s="15">
        <f t="shared" si="154"/>
        <v>9551.6843632225064</v>
      </c>
      <c r="AN23" s="14">
        <f t="shared" si="155"/>
        <v>284.77787580337076</v>
      </c>
      <c r="AO23" s="15">
        <f t="shared" ref="AO23:AO28" si="174">I23*0.024723925078</f>
        <v>10601.328197402097</v>
      </c>
      <c r="AP23" s="14">
        <f t="shared" ref="AP23:AP28" si="175">I23*0.026998574469</f>
        <v>11576.671095098764</v>
      </c>
      <c r="AQ23" s="15">
        <f t="shared" ref="AQ23:AQ28" si="176">I23*0.028132809688</f>
        <v>12063.017812771472</v>
      </c>
      <c r="AR23" s="14">
        <f t="shared" si="156"/>
        <v>1089.6845709587367</v>
      </c>
      <c r="AS23" s="15">
        <f t="shared" si="157"/>
        <v>6610.2639498218841</v>
      </c>
      <c r="AT23" s="14">
        <f t="shared" si="158"/>
        <v>829.91194202894701</v>
      </c>
      <c r="AU23" s="15">
        <f t="shared" si="159"/>
        <v>29136.376259446821</v>
      </c>
      <c r="AV23" s="14">
        <f t="shared" si="160"/>
        <v>9006.733099283656</v>
      </c>
      <c r="AW23" s="10">
        <f t="shared" si="161"/>
        <v>21439.411751889344</v>
      </c>
      <c r="AY23"/>
      <c r="AZ23" s="1"/>
      <c r="BA23" s="1"/>
      <c r="BB23" s="1"/>
      <c r="BC23" s="1"/>
      <c r="BJ23" s="1"/>
    </row>
    <row r="24" spans="1:62" s="37" customFormat="1" x14ac:dyDescent="0.25">
      <c r="A24" s="28"/>
      <c r="B24" s="17" t="s">
        <v>96</v>
      </c>
      <c r="C24" s="21">
        <v>1612963.4208181764</v>
      </c>
      <c r="D24" s="59">
        <v>34664.49</v>
      </c>
      <c r="E24" s="10">
        <f t="shared" si="133"/>
        <v>806481.71040908818</v>
      </c>
      <c r="F24" s="59">
        <f t="shared" si="134"/>
        <v>357257.1741636353</v>
      </c>
      <c r="G24" s="10">
        <f t="shared" si="135"/>
        <v>483889.02624545287</v>
      </c>
      <c r="H24" s="11"/>
      <c r="I24" s="12">
        <f>G24-H24</f>
        <v>483889.02624545287</v>
      </c>
      <c r="J24" s="13">
        <f t="shared" si="136"/>
        <v>8129.111109640985</v>
      </c>
      <c r="K24" s="11">
        <f t="shared" si="137"/>
        <v>19615.465693526774</v>
      </c>
      <c r="L24" s="14">
        <f t="shared" si="138"/>
        <v>12718.216327658287</v>
      </c>
      <c r="M24" s="15">
        <f t="shared" si="163"/>
        <v>17797.218606299259</v>
      </c>
      <c r="N24" s="16">
        <f t="shared" si="139"/>
        <v>25182.975198504122</v>
      </c>
      <c r="O24" s="15">
        <f t="shared" si="164"/>
        <v>13255.654678467565</v>
      </c>
      <c r="P24" s="14">
        <f t="shared" si="140"/>
        <v>7797.3535390933994</v>
      </c>
      <c r="Q24" s="15">
        <f t="shared" si="165"/>
        <v>4049.69121509055</v>
      </c>
      <c r="R24" s="14">
        <f t="shared" si="141"/>
        <v>16948.552810632849</v>
      </c>
      <c r="S24" s="15">
        <f t="shared" si="142"/>
        <v>5977.6161167311711</v>
      </c>
      <c r="T24" s="14">
        <f t="shared" si="143"/>
        <v>9541.1169346902243</v>
      </c>
      <c r="U24" s="15">
        <f t="shared" si="144"/>
        <v>7056.5247897886857</v>
      </c>
      <c r="V24" s="14">
        <f t="shared" si="145"/>
        <v>18626.988752273068</v>
      </c>
      <c r="W24" s="15">
        <f t="shared" si="146"/>
        <v>24174.741730752889</v>
      </c>
      <c r="X24" s="14">
        <f t="shared" si="147"/>
        <v>1057.6261067056976</v>
      </c>
      <c r="Y24" s="15">
        <f t="shared" si="148"/>
        <v>10166.687378256092</v>
      </c>
      <c r="Z24" s="14">
        <f t="shared" si="149"/>
        <v>21025.465451129909</v>
      </c>
      <c r="AA24" s="15">
        <f t="shared" si="166"/>
        <v>10462.516898470152</v>
      </c>
      <c r="AB24" s="14">
        <f t="shared" si="150"/>
        <v>1013.3511226105942</v>
      </c>
      <c r="AC24" s="15">
        <f t="shared" si="167"/>
        <v>18607.671259256833</v>
      </c>
      <c r="AD24" s="14">
        <f t="shared" si="151"/>
        <v>32808.173222353413</v>
      </c>
      <c r="AE24" s="15">
        <f t="shared" si="168"/>
        <v>6174.8362376967816</v>
      </c>
      <c r="AF24" s="14">
        <f t="shared" si="152"/>
        <v>34847.764815695584</v>
      </c>
      <c r="AG24" s="15">
        <f t="shared" si="153"/>
        <v>2992.5623275859934</v>
      </c>
      <c r="AH24" s="15">
        <f t="shared" si="169"/>
        <v>2112.9102582688306</v>
      </c>
      <c r="AI24" s="64">
        <f t="shared" si="170"/>
        <v>9536.5560072205626</v>
      </c>
      <c r="AJ24" s="14">
        <f t="shared" si="171"/>
        <v>13020.590362755627</v>
      </c>
      <c r="AK24" s="15">
        <f t="shared" si="172"/>
        <v>8886.0267496232282</v>
      </c>
      <c r="AL24" s="14">
        <f t="shared" si="173"/>
        <v>17892.86055948148</v>
      </c>
      <c r="AM24" s="15">
        <f t="shared" si="154"/>
        <v>10779.109284834618</v>
      </c>
      <c r="AN24" s="14">
        <f t="shared" si="155"/>
        <v>321.37283105866447</v>
      </c>
      <c r="AO24" s="15">
        <f t="shared" si="174"/>
        <v>11963.636030958953</v>
      </c>
      <c r="AP24" s="14">
        <f t="shared" si="175"/>
        <v>13064.313909819755</v>
      </c>
      <c r="AQ24" s="15">
        <f t="shared" si="176"/>
        <v>13613.157885474962</v>
      </c>
      <c r="AR24" s="14">
        <f t="shared" si="156"/>
        <v>1229.7128579319583</v>
      </c>
      <c r="AS24" s="15">
        <f t="shared" si="157"/>
        <v>7459.7060379300128</v>
      </c>
      <c r="AT24" s="14">
        <f t="shared" si="158"/>
        <v>936.5585356195005</v>
      </c>
      <c r="AU24" s="15">
        <f t="shared" si="159"/>
        <v>32880.502738752621</v>
      </c>
      <c r="AV24" s="14">
        <f t="shared" si="160"/>
        <v>10164.129873295118</v>
      </c>
      <c r="AW24" s="10">
        <f t="shared" si="161"/>
        <v>24194.451312272646</v>
      </c>
    </row>
    <row r="25" spans="1:62" x14ac:dyDescent="0.25">
      <c r="A25" s="37"/>
      <c r="B25" s="17" t="s">
        <v>98</v>
      </c>
      <c r="C25" s="21">
        <v>1586535.5628056505</v>
      </c>
      <c r="D25" s="59">
        <v>41461.54</v>
      </c>
      <c r="E25" s="10">
        <f t="shared" si="133"/>
        <v>793267.78140282526</v>
      </c>
      <c r="F25" s="59">
        <f t="shared" si="134"/>
        <v>358768.65256113012</v>
      </c>
      <c r="G25" s="10">
        <f t="shared" si="135"/>
        <v>475960.66884169512</v>
      </c>
      <c r="H25" s="11"/>
      <c r="I25" s="12">
        <f>G25-H25</f>
        <v>475960.66884169512</v>
      </c>
      <c r="J25" s="13">
        <f t="shared" si="136"/>
        <v>7995.9183841266868</v>
      </c>
      <c r="K25" s="11">
        <f t="shared" si="137"/>
        <v>19294.072948032805</v>
      </c>
      <c r="L25" s="14">
        <f t="shared" si="138"/>
        <v>12509.832671251841</v>
      </c>
      <c r="M25" s="15">
        <f t="shared" si="163"/>
        <v>17505.617221993482</v>
      </c>
      <c r="N25" s="16">
        <f t="shared" si="139"/>
        <v>24770.360700066562</v>
      </c>
      <c r="O25" s="15">
        <f t="shared" si="164"/>
        <v>13038.46527715559</v>
      </c>
      <c r="P25" s="14">
        <f t="shared" si="140"/>
        <v>7669.5965487333215</v>
      </c>
      <c r="Q25" s="15">
        <f t="shared" si="165"/>
        <v>3983.3383994930969</v>
      </c>
      <c r="R25" s="14">
        <f t="shared" si="141"/>
        <v>16670.856527247826</v>
      </c>
      <c r="S25" s="15">
        <f t="shared" si="142"/>
        <v>5879.6749061944656</v>
      </c>
      <c r="T25" s="14">
        <f t="shared" si="143"/>
        <v>9384.788973140423</v>
      </c>
      <c r="U25" s="15">
        <f t="shared" si="144"/>
        <v>6940.9060269578413</v>
      </c>
      <c r="V25" s="14">
        <f t="shared" si="145"/>
        <v>18321.791865851254</v>
      </c>
      <c r="W25" s="15">
        <f t="shared" si="146"/>
        <v>23778.646795366352</v>
      </c>
      <c r="X25" s="14">
        <f t="shared" si="147"/>
        <v>1040.2972620353203</v>
      </c>
      <c r="Y25" s="15">
        <f t="shared" si="148"/>
        <v>10000.109657383786</v>
      </c>
      <c r="Z25" s="14">
        <f t="shared" si="149"/>
        <v>20680.970338334435</v>
      </c>
      <c r="AA25" s="15">
        <f t="shared" si="166"/>
        <v>10291.092111349955</v>
      </c>
      <c r="AB25" s="14">
        <f t="shared" si="150"/>
        <v>996.74770852225618</v>
      </c>
      <c r="AC25" s="15">
        <f t="shared" si="167"/>
        <v>18302.790883399361</v>
      </c>
      <c r="AD25" s="14">
        <f t="shared" si="151"/>
        <v>32270.62244322235</v>
      </c>
      <c r="AE25" s="15">
        <f t="shared" si="168"/>
        <v>6073.6636424387489</v>
      </c>
      <c r="AF25" s="14">
        <f t="shared" si="152"/>
        <v>34276.796020795111</v>
      </c>
      <c r="AG25" s="15">
        <f t="shared" si="153"/>
        <v>2943.5302098911238</v>
      </c>
      <c r="AH25" s="15">
        <f t="shared" si="169"/>
        <v>2078.2909410679399</v>
      </c>
      <c r="AI25" s="64">
        <f t="shared" si="170"/>
        <v>9380.3027749188132</v>
      </c>
      <c r="AJ25" s="14">
        <f t="shared" si="171"/>
        <v>12807.252410446938</v>
      </c>
      <c r="AK25" s="15">
        <f t="shared" si="172"/>
        <v>8740.4322183378081</v>
      </c>
      <c r="AL25" s="14">
        <f t="shared" si="173"/>
        <v>17599.692114245423</v>
      </c>
      <c r="AM25" s="15">
        <f t="shared" si="154"/>
        <v>10602.497238954118</v>
      </c>
      <c r="AN25" s="14">
        <f t="shared" si="155"/>
        <v>316.10724633511654</v>
      </c>
      <c r="AO25" s="15">
        <f t="shared" si="174"/>
        <v>11767.615916516839</v>
      </c>
      <c r="AP25" s="14">
        <f t="shared" si="175"/>
        <v>12850.259562037554</v>
      </c>
      <c r="AQ25" s="15">
        <f t="shared" si="176"/>
        <v>13390.1109154966</v>
      </c>
      <c r="AR25" s="14">
        <f t="shared" si="156"/>
        <v>1209.5644302700848</v>
      </c>
      <c r="AS25" s="15">
        <f t="shared" si="157"/>
        <v>7337.4812872375305</v>
      </c>
      <c r="AT25" s="14">
        <f t="shared" si="158"/>
        <v>921.21334199619059</v>
      </c>
      <c r="AU25" s="15">
        <f t="shared" si="159"/>
        <v>32341.766865052865</v>
      </c>
      <c r="AV25" s="14">
        <f t="shared" si="160"/>
        <v>9997.5940562732667</v>
      </c>
      <c r="AW25" s="10">
        <f t="shared" si="161"/>
        <v>23798.033442084758</v>
      </c>
      <c r="AY25"/>
      <c r="AZ25" s="1"/>
      <c r="BA25" s="1"/>
      <c r="BB25" s="1"/>
      <c r="BC25" s="1"/>
      <c r="BJ25" s="1"/>
    </row>
    <row r="26" spans="1:62" x14ac:dyDescent="0.25">
      <c r="A26" s="17"/>
      <c r="B26" s="17" t="s">
        <v>87</v>
      </c>
      <c r="C26" s="9">
        <v>5853112.385169562</v>
      </c>
      <c r="D26" s="59"/>
      <c r="E26" s="10">
        <f t="shared" si="133"/>
        <v>2926556.192584781</v>
      </c>
      <c r="F26" s="59">
        <f t="shared" si="134"/>
        <v>1170622.4770339124</v>
      </c>
      <c r="G26" s="10">
        <f t="shared" si="135"/>
        <v>1755933.7155508685</v>
      </c>
      <c r="H26" s="11">
        <f>0.07*G26</f>
        <v>122915.3600885608</v>
      </c>
      <c r="I26" s="12">
        <f>G26-H26</f>
        <v>1633018.3554623078</v>
      </c>
      <c r="J26" s="13">
        <f t="shared" si="136"/>
        <v>27433.950628387582</v>
      </c>
      <c r="K26" s="11">
        <f t="shared" si="137"/>
        <v>66197.854861502798</v>
      </c>
      <c r="L26" s="14">
        <f t="shared" si="138"/>
        <v>42921.164947583013</v>
      </c>
      <c r="M26" s="15">
        <f t="shared" si="163"/>
        <v>60061.673408397757</v>
      </c>
      <c r="N26" s="16">
        <f t="shared" si="139"/>
        <v>84986.967080855</v>
      </c>
      <c r="O26" s="15">
        <f t="shared" si="164"/>
        <v>44734.900420384904</v>
      </c>
      <c r="P26" s="14">
        <f t="shared" si="140"/>
        <v>26314.342261834179</v>
      </c>
      <c r="Q26" s="15">
        <f t="shared" si="165"/>
        <v>13666.811457804723</v>
      </c>
      <c r="R26" s="14">
        <f t="shared" si="141"/>
        <v>57197.614198934963</v>
      </c>
      <c r="S26" s="15">
        <f t="shared" si="142"/>
        <v>20173.131257532943</v>
      </c>
      <c r="T26" s="14">
        <f t="shared" si="143"/>
        <v>32199.157742539981</v>
      </c>
      <c r="U26" s="15">
        <f t="shared" si="144"/>
        <v>23814.209214272327</v>
      </c>
      <c r="V26" s="14">
        <f t="shared" si="145"/>
        <v>62861.963982671979</v>
      </c>
      <c r="W26" s="15">
        <f t="shared" si="146"/>
        <v>81584.402298172761</v>
      </c>
      <c r="X26" s="14">
        <f t="shared" si="147"/>
        <v>3569.2540061664008</v>
      </c>
      <c r="Y26" s="15">
        <f t="shared" si="148"/>
        <v>34310.319520487741</v>
      </c>
      <c r="Z26" s="14">
        <f t="shared" si="149"/>
        <v>70956.291942064636</v>
      </c>
      <c r="AA26" s="15">
        <f t="shared" si="166"/>
        <v>35308.678669785986</v>
      </c>
      <c r="AB26" s="14">
        <f t="shared" si="150"/>
        <v>3419.8357350472907</v>
      </c>
      <c r="AC26" s="15">
        <f t="shared" si="167"/>
        <v>62796.771719640514</v>
      </c>
      <c r="AD26" s="14">
        <f t="shared" si="151"/>
        <v>110720.3225851075</v>
      </c>
      <c r="AE26" s="15">
        <f t="shared" si="168"/>
        <v>20838.705511411499</v>
      </c>
      <c r="AF26" s="14">
        <f t="shared" si="152"/>
        <v>117603.49275207237</v>
      </c>
      <c r="AG26" s="15">
        <f t="shared" si="153"/>
        <v>10099.235456383441</v>
      </c>
      <c r="AH26" s="15">
        <f t="shared" si="169"/>
        <v>7130.6044321149338</v>
      </c>
      <c r="AI26" s="64">
        <f t="shared" si="170"/>
        <v>32183.76562188438</v>
      </c>
      <c r="AJ26" s="14">
        <f t="shared" si="171"/>
        <v>43941.610385993699</v>
      </c>
      <c r="AK26" s="15">
        <f t="shared" si="172"/>
        <v>29988.373371176778</v>
      </c>
      <c r="AL26" s="14">
        <f t="shared" si="173"/>
        <v>60384.443830183707</v>
      </c>
      <c r="AM26" s="15">
        <f t="shared" si="154"/>
        <v>36377.107896512323</v>
      </c>
      <c r="AN26" s="14">
        <f t="shared" si="155"/>
        <v>1084.5621694249323</v>
      </c>
      <c r="AO26" s="15">
        <f t="shared" si="174"/>
        <v>40374.623471448867</v>
      </c>
      <c r="AP26" s="14">
        <f t="shared" si="175"/>
        <v>44089.167679193029</v>
      </c>
      <c r="AQ26" s="15">
        <f t="shared" si="176"/>
        <v>45941.394611231837</v>
      </c>
      <c r="AR26" s="14">
        <f t="shared" si="156"/>
        <v>4150.0087004086545</v>
      </c>
      <c r="AS26" s="15">
        <f t="shared" si="157"/>
        <v>25174.856683179827</v>
      </c>
      <c r="AT26" s="14">
        <f t="shared" si="158"/>
        <v>3160.6777518772383</v>
      </c>
      <c r="AU26" s="15">
        <f t="shared" si="159"/>
        <v>110964.41869292397</v>
      </c>
      <c r="AV26" s="14">
        <f t="shared" si="160"/>
        <v>34301.68850734437</v>
      </c>
      <c r="AW26" s="10">
        <f t="shared" si="161"/>
        <v>87796.685777543433</v>
      </c>
      <c r="AY26"/>
      <c r="AZ26" s="1"/>
      <c r="BA26" s="1"/>
      <c r="BB26" s="1"/>
      <c r="BC26" s="1"/>
      <c r="BJ26" s="1"/>
    </row>
    <row r="27" spans="1:62" x14ac:dyDescent="0.25">
      <c r="A27" s="8"/>
      <c r="B27" s="17" t="s">
        <v>88</v>
      </c>
      <c r="C27" s="19">
        <v>819235.57</v>
      </c>
      <c r="D27" s="57"/>
      <c r="E27" s="10">
        <f t="shared" si="133"/>
        <v>409617.78499999997</v>
      </c>
      <c r="F27" s="10">
        <f>0.2*C27+D27</f>
        <v>163847.114</v>
      </c>
      <c r="G27" s="10">
        <f t="shared" si="135"/>
        <v>245770.67099999997</v>
      </c>
      <c r="H27" s="11"/>
      <c r="I27" s="12">
        <f>G27-H27</f>
        <v>245770.67099999997</v>
      </c>
      <c r="J27" s="13">
        <f t="shared" si="136"/>
        <v>4128.8332317678669</v>
      </c>
      <c r="K27" s="11">
        <f t="shared" si="137"/>
        <v>9962.8342533028408</v>
      </c>
      <c r="L27" s="14">
        <f t="shared" si="138"/>
        <v>6459.6723447623453</v>
      </c>
      <c r="M27" s="15">
        <f t="shared" si="163"/>
        <v>9039.3336520616249</v>
      </c>
      <c r="N27" s="16">
        <f t="shared" si="139"/>
        <v>12790.611848207574</v>
      </c>
      <c r="O27" s="15">
        <f t="shared" si="164"/>
        <v>6732.6410977931873</v>
      </c>
      <c r="P27" s="14">
        <f t="shared" si="140"/>
        <v>3960.3312069225035</v>
      </c>
      <c r="Q27" s="15">
        <f t="shared" si="165"/>
        <v>2056.8669122302967</v>
      </c>
      <c r="R27" s="14">
        <f t="shared" si="141"/>
        <v>8608.2902707432786</v>
      </c>
      <c r="S27" s="15">
        <f t="shared" si="142"/>
        <v>3036.0736538881979</v>
      </c>
      <c r="T27" s="14">
        <f t="shared" si="143"/>
        <v>4846.0010125106965</v>
      </c>
      <c r="U27" s="15">
        <f t="shared" si="144"/>
        <v>3584.0590268620422</v>
      </c>
      <c r="V27" s="14">
        <f t="shared" si="145"/>
        <v>9460.7797987826834</v>
      </c>
      <c r="W27" s="15">
        <f t="shared" si="146"/>
        <v>12278.522913650535</v>
      </c>
      <c r="X27" s="14">
        <f t="shared" si="147"/>
        <v>537.17580646337183</v>
      </c>
      <c r="Y27" s="15">
        <f t="shared" si="148"/>
        <v>5163.732681000658</v>
      </c>
      <c r="Z27" s="14">
        <f t="shared" si="149"/>
        <v>10678.983138151034</v>
      </c>
      <c r="AA27" s="15">
        <f t="shared" si="166"/>
        <v>5313.9865940698446</v>
      </c>
      <c r="AB27" s="14">
        <f t="shared" si="150"/>
        <v>514.68822778443689</v>
      </c>
      <c r="AC27" s="15">
        <f t="shared" si="167"/>
        <v>9450.968306967141</v>
      </c>
      <c r="AD27" s="14">
        <f t="shared" si="151"/>
        <v>16663.504047004208</v>
      </c>
      <c r="AE27" s="15">
        <f t="shared" si="168"/>
        <v>3136.2431531647371</v>
      </c>
      <c r="AF27" s="14">
        <f t="shared" si="152"/>
        <v>17699.427093970342</v>
      </c>
      <c r="AG27" s="15">
        <f t="shared" si="153"/>
        <v>1519.9436469283698</v>
      </c>
      <c r="AH27" s="15">
        <f t="shared" si="169"/>
        <v>1073.1621172869975</v>
      </c>
      <c r="AI27" s="2">
        <f t="shared" si="170"/>
        <v>4843.6844850760926</v>
      </c>
      <c r="AJ27" s="14">
        <f t="shared" si="171"/>
        <v>6613.2502633927106</v>
      </c>
      <c r="AK27" s="15">
        <f t="shared" si="172"/>
        <v>4513.2760577857225</v>
      </c>
      <c r="AL27" s="14">
        <f t="shared" si="173"/>
        <v>9087.9108789347592</v>
      </c>
      <c r="AM27" s="15">
        <f t="shared" si="154"/>
        <v>5474.7861142284555</v>
      </c>
      <c r="AN27" s="14">
        <f t="shared" si="155"/>
        <v>163.22754194965549</v>
      </c>
      <c r="AO27" s="15">
        <f t="shared" si="174"/>
        <v>6076.4156561737864</v>
      </c>
      <c r="AP27" s="14">
        <f t="shared" si="175"/>
        <v>6635.457763289598</v>
      </c>
      <c r="AQ27" s="15">
        <f t="shared" si="176"/>
        <v>6914.2195141350594</v>
      </c>
      <c r="AR27" s="14">
        <f t="shared" si="156"/>
        <v>624.57988885650013</v>
      </c>
      <c r="AS27" s="15">
        <f t="shared" si="157"/>
        <v>3788.8376445115528</v>
      </c>
      <c r="AT27" s="14">
        <f t="shared" si="158"/>
        <v>475.68472778968095</v>
      </c>
      <c r="AU27" s="15">
        <f t="shared" si="159"/>
        <v>16700.240721767153</v>
      </c>
      <c r="AV27" s="14">
        <f t="shared" si="160"/>
        <v>5162.4337060782027</v>
      </c>
      <c r="AW27" s="10">
        <f t="shared" si="161"/>
        <v>12288.533549999998</v>
      </c>
      <c r="AY27"/>
      <c r="AZ27" s="1"/>
      <c r="BA27" s="1"/>
      <c r="BB27" s="1"/>
      <c r="BC27" s="1"/>
      <c r="BJ27" s="1"/>
    </row>
    <row r="28" spans="1:62" x14ac:dyDescent="0.25">
      <c r="A28" s="8"/>
      <c r="B28" s="17" t="s">
        <v>89</v>
      </c>
      <c r="C28" s="19">
        <v>963806.56</v>
      </c>
      <c r="D28" s="59"/>
      <c r="E28" s="10">
        <f t="shared" si="133"/>
        <v>481903.28</v>
      </c>
      <c r="F28" s="59">
        <f>(C28*0.2)+D28</f>
        <v>192761.31200000003</v>
      </c>
      <c r="G28" s="10">
        <f t="shared" si="135"/>
        <v>289141.96799999999</v>
      </c>
      <c r="H28" s="11"/>
      <c r="I28" s="38">
        <f>G28-H28</f>
        <v>289141.96799999999</v>
      </c>
      <c r="J28" s="13">
        <f t="shared" si="136"/>
        <v>4857.4508964788611</v>
      </c>
      <c r="K28" s="11">
        <f t="shared" si="137"/>
        <v>11720.981560317236</v>
      </c>
      <c r="L28" s="14">
        <f t="shared" si="138"/>
        <v>7599.6145789086413</v>
      </c>
      <c r="M28" s="15">
        <f t="shared" si="163"/>
        <v>10634.510256782127</v>
      </c>
      <c r="N28" s="16">
        <f t="shared" si="139"/>
        <v>15047.778755158526</v>
      </c>
      <c r="O28" s="15">
        <f t="shared" si="164"/>
        <v>7920.7542907086863</v>
      </c>
      <c r="P28" s="14">
        <f t="shared" si="140"/>
        <v>4659.2132187383249</v>
      </c>
      <c r="Q28" s="15">
        <f t="shared" si="165"/>
        <v>2419.8434438759837</v>
      </c>
      <c r="R28" s="14">
        <f t="shared" si="141"/>
        <v>10127.40039269358</v>
      </c>
      <c r="S28" s="15">
        <f t="shared" si="142"/>
        <v>3571.8513836754119</v>
      </c>
      <c r="T28" s="14">
        <f t="shared" si="143"/>
        <v>5701.1777035321493</v>
      </c>
      <c r="U28" s="15">
        <f t="shared" si="144"/>
        <v>4216.540062483924</v>
      </c>
      <c r="V28" s="14">
        <f t="shared" si="145"/>
        <v>11130.329256555879</v>
      </c>
      <c r="W28" s="15">
        <f t="shared" si="146"/>
        <v>14445.32118067908</v>
      </c>
      <c r="X28" s="14">
        <f t="shared" si="147"/>
        <v>631.97154164422841</v>
      </c>
      <c r="Y28" s="15">
        <f t="shared" si="148"/>
        <v>6074.9796691992051</v>
      </c>
      <c r="Z28" s="14">
        <f t="shared" si="149"/>
        <v>12563.509666309234</v>
      </c>
      <c r="AA28" s="15">
        <f t="shared" si="166"/>
        <v>6251.7489799870064</v>
      </c>
      <c r="AB28" s="14">
        <f t="shared" si="150"/>
        <v>605.5155665340734</v>
      </c>
      <c r="AC28" s="15">
        <f t="shared" si="167"/>
        <v>11118.786324923642</v>
      </c>
      <c r="AD28" s="14">
        <f t="shared" si="151"/>
        <v>19604.122551818891</v>
      </c>
      <c r="AE28" s="15">
        <f t="shared" si="168"/>
        <v>3689.6978542756128</v>
      </c>
      <c r="AF28" s="14">
        <f t="shared" si="152"/>
        <v>20822.855557175517</v>
      </c>
      <c r="AG28" s="15">
        <f t="shared" si="153"/>
        <v>1788.1690094826899</v>
      </c>
      <c r="AH28" s="15">
        <f t="shared" si="169"/>
        <v>1262.5436766432122</v>
      </c>
      <c r="AI28" s="64">
        <f t="shared" si="170"/>
        <v>5698.4523771185377</v>
      </c>
      <c r="AJ28" s="14">
        <f t="shared" si="171"/>
        <v>7780.2944845029415</v>
      </c>
      <c r="AK28" s="15">
        <f t="shared" si="172"/>
        <v>5309.7365774594218</v>
      </c>
      <c r="AL28" s="14">
        <f t="shared" si="173"/>
        <v>10691.659935874963</v>
      </c>
      <c r="AM28" s="15">
        <f t="shared" si="154"/>
        <v>6440.9248874414661</v>
      </c>
      <c r="AN28" s="14">
        <f t="shared" si="155"/>
        <v>192.03240370013862</v>
      </c>
      <c r="AO28" s="15">
        <f t="shared" si="174"/>
        <v>7148.7243537374734</v>
      </c>
      <c r="AP28" s="14">
        <f t="shared" si="175"/>
        <v>7806.4209551612148</v>
      </c>
      <c r="AQ28" s="15">
        <f t="shared" si="176"/>
        <v>8134.3759585577855</v>
      </c>
      <c r="AR28" s="14">
        <f t="shared" si="156"/>
        <v>734.79987462454267</v>
      </c>
      <c r="AS28" s="15">
        <f t="shared" si="157"/>
        <v>4457.456085012499</v>
      </c>
      <c r="AT28" s="14">
        <f t="shared" si="158"/>
        <v>559.6290956159396</v>
      </c>
      <c r="AU28" s="15">
        <f t="shared" si="159"/>
        <v>19647.342169503601</v>
      </c>
      <c r="AV28" s="14">
        <f t="shared" si="160"/>
        <v>6073.4514633968884</v>
      </c>
      <c r="AW28" s="10">
        <f t="shared" si="161"/>
        <v>14457.098400000001</v>
      </c>
      <c r="AY28"/>
      <c r="AZ28" s="1"/>
      <c r="BA28" s="1"/>
      <c r="BB28" s="1"/>
      <c r="BC28" s="1"/>
      <c r="BJ28" s="1"/>
    </row>
    <row r="29" spans="1:62" x14ac:dyDescent="0.25">
      <c r="A29" s="3" t="s">
        <v>65</v>
      </c>
      <c r="B29" s="4"/>
      <c r="C29" s="5">
        <f>SUM(C30:C35)</f>
        <v>13297280.83460173</v>
      </c>
      <c r="D29" s="5">
        <f>SUM(D30:D35)</f>
        <v>128070.97</v>
      </c>
      <c r="E29" s="5">
        <f t="shared" ref="E29:AV29" si="177">SUM(E30:E35)</f>
        <v>6648640.4173008651</v>
      </c>
      <c r="F29" s="5">
        <f t="shared" si="177"/>
        <v>2787527.1369203459</v>
      </c>
      <c r="G29" s="5">
        <f t="shared" si="177"/>
        <v>3989184.2503805188</v>
      </c>
      <c r="H29" s="5">
        <f t="shared" si="177"/>
        <v>122915.3600885608</v>
      </c>
      <c r="I29" s="5">
        <f t="shared" si="177"/>
        <v>3866268.8902919581</v>
      </c>
      <c r="J29" s="5">
        <f t="shared" si="177"/>
        <v>64951.523354012046</v>
      </c>
      <c r="K29" s="5">
        <f t="shared" si="177"/>
        <v>156727.391335803</v>
      </c>
      <c r="L29" s="5">
        <f t="shared" si="177"/>
        <v>101618.43203835322</v>
      </c>
      <c r="M29" s="5">
        <f t="shared" si="177"/>
        <v>188495.85881867577</v>
      </c>
      <c r="N29" s="5">
        <f t="shared" si="177"/>
        <v>201211.74131686636</v>
      </c>
      <c r="O29" s="5">
        <f t="shared" si="177"/>
        <v>140394.747521793</v>
      </c>
      <c r="P29" s="5">
        <f t="shared" si="177"/>
        <v>62300.783402169582</v>
      </c>
      <c r="Q29" s="5">
        <f t="shared" si="177"/>
        <v>42891.534931686176</v>
      </c>
      <c r="R29" s="5">
        <f t="shared" si="177"/>
        <v>135418.78181378962</v>
      </c>
      <c r="S29" s="5">
        <f t="shared" si="177"/>
        <v>47761.098054954549</v>
      </c>
      <c r="T29" s="5">
        <f t="shared" si="177"/>
        <v>76233.436970977869</v>
      </c>
      <c r="U29" s="5">
        <f t="shared" si="177"/>
        <v>56381.568476601453</v>
      </c>
      <c r="V29" s="5">
        <f t="shared" si="177"/>
        <v>148829.4696234772</v>
      </c>
      <c r="W29" s="5">
        <f t="shared" si="177"/>
        <v>193155.96513867204</v>
      </c>
      <c r="X29" s="5">
        <f t="shared" si="177"/>
        <v>8450.4229113116126</v>
      </c>
      <c r="Y29" s="5">
        <f t="shared" si="177"/>
        <v>81231.739088740724</v>
      </c>
      <c r="Z29" s="5">
        <f t="shared" si="177"/>
        <v>167993.27649223752</v>
      </c>
      <c r="AA29" s="5">
        <f t="shared" si="177"/>
        <v>110811.75951190526</v>
      </c>
      <c r="AB29" s="5">
        <f t="shared" si="177"/>
        <v>8096.6661936747914</v>
      </c>
      <c r="AC29" s="5">
        <f t="shared" si="177"/>
        <v>197079.61408013222</v>
      </c>
      <c r="AD29" s="5">
        <f t="shared" si="177"/>
        <v>262137.00372810767</v>
      </c>
      <c r="AE29" s="5">
        <f t="shared" si="177"/>
        <v>65399.604591998803</v>
      </c>
      <c r="AF29" s="5">
        <f t="shared" si="177"/>
        <v>278433.32188895775</v>
      </c>
      <c r="AG29" s="5">
        <f t="shared" si="177"/>
        <v>23910.545604182615</v>
      </c>
      <c r="AH29" s="5">
        <f t="shared" si="177"/>
        <v>22378.487478835897</v>
      </c>
      <c r="AI29" s="5">
        <f t="shared" si="177"/>
        <v>101004.62069489819</v>
      </c>
      <c r="AJ29" s="5">
        <f t="shared" si="177"/>
        <v>137905.10849178955</v>
      </c>
      <c r="AK29" s="5">
        <f t="shared" si="177"/>
        <v>94114.663684757092</v>
      </c>
      <c r="AL29" s="5">
        <f t="shared" si="177"/>
        <v>189508.83239072585</v>
      </c>
      <c r="AM29" s="5">
        <f t="shared" si="177"/>
        <v>86124.984516333425</v>
      </c>
      <c r="AN29" s="5">
        <f t="shared" si="177"/>
        <v>2567.7659783855115</v>
      </c>
      <c r="AO29" s="5">
        <f t="shared" si="177"/>
        <v>126710.577542239</v>
      </c>
      <c r="AP29" s="5">
        <f t="shared" si="177"/>
        <v>138368.19813162432</v>
      </c>
      <c r="AQ29" s="5">
        <f t="shared" si="177"/>
        <v>144181.17480158369</v>
      </c>
      <c r="AR29" s="5">
        <f t="shared" si="177"/>
        <v>9825.3944783667685</v>
      </c>
      <c r="AS29" s="5">
        <f t="shared" si="177"/>
        <v>59602.982958621942</v>
      </c>
      <c r="AT29" s="5">
        <f t="shared" si="177"/>
        <v>7483.0941265576894</v>
      </c>
      <c r="AU29" s="5">
        <f t="shared" si="177"/>
        <v>262714.91590204951</v>
      </c>
      <c r="AV29" s="5">
        <f t="shared" si="177"/>
        <v>81211.30464751336</v>
      </c>
      <c r="AW29" s="5">
        <f>SUM(AW30:AW35)</f>
        <v>199459.21251902595</v>
      </c>
      <c r="AX29" s="6"/>
      <c r="AY29"/>
      <c r="AZ29" s="1"/>
      <c r="BA29" s="1"/>
      <c r="BB29" s="1"/>
      <c r="BC29" s="1"/>
      <c r="BJ29" s="1"/>
    </row>
    <row r="30" spans="1:62" x14ac:dyDescent="0.25">
      <c r="A30" s="8"/>
      <c r="B30" s="17" t="s">
        <v>102</v>
      </c>
      <c r="C30" s="21">
        <v>1388346</v>
      </c>
      <c r="D30" s="59">
        <v>26593.77</v>
      </c>
      <c r="E30" s="36">
        <f t="shared" ref="E30:E35" si="178">0.5*C30</f>
        <v>694173</v>
      </c>
      <c r="F30" s="59">
        <f>(C30*0.2)+D30</f>
        <v>304262.97000000003</v>
      </c>
      <c r="G30" s="10">
        <f>0.3*C30</f>
        <v>416503.8</v>
      </c>
      <c r="H30" s="11"/>
      <c r="I30" s="12">
        <f>G30-H30</f>
        <v>416503.8</v>
      </c>
      <c r="J30" s="13">
        <f t="shared" ref="J30:J35" si="179">I30*0.016799535986</f>
        <v>6997.0705764057475</v>
      </c>
      <c r="K30" s="11">
        <f>I30*0.040537116218</f>
        <v>16883.862945838628</v>
      </c>
      <c r="L30" s="14">
        <f>I30*0.026283332826</f>
        <v>10947.107998693738</v>
      </c>
      <c r="M30" s="15">
        <f>I30*0.036779545807</f>
        <v>15318.820590889565</v>
      </c>
      <c r="N30" s="16">
        <f>I30*0.052042873123</f>
        <v>21676.054418647367</v>
      </c>
      <c r="O30" s="15">
        <f>I30*0.0273939973</f>
        <v>11409.70397263974</v>
      </c>
      <c r="P30" s="14">
        <f>I30*0.016113929261</f>
        <v>6711.5127701376914</v>
      </c>
      <c r="Q30" s="15">
        <f>I30*0.008369049504</f>
        <v>3485.7409208041149</v>
      </c>
      <c r="R30" s="14">
        <f>I30*0.035025701951</f>
        <v>14588.337960258914</v>
      </c>
      <c r="S30" s="15">
        <f>I30*0.012353278939</f>
        <v>5145.1876205534682</v>
      </c>
      <c r="T30" s="14">
        <f>I30*0.019717572454</f>
        <v>8212.4438538663253</v>
      </c>
      <c r="U30" s="15">
        <f>I30*0.014582940317</f>
        <v>6073.8500572037046</v>
      </c>
      <c r="V30" s="14">
        <f>I30*0.038494340111</f>
        <v>16033.038934723923</v>
      </c>
      <c r="W30" s="15">
        <f>I30*0.049959268385</f>
        <v>20808.225127572361</v>
      </c>
      <c r="X30" s="14">
        <f>I30*0.002185679049</f>
        <v>910.34362948888622</v>
      </c>
      <c r="Y30" s="15">
        <f>I30*0.021010369789</f>
        <v>8750.8988565236978</v>
      </c>
      <c r="Z30" s="14">
        <f>I30*0.043451006968</f>
        <v>18097.509515998478</v>
      </c>
      <c r="AA30" s="15">
        <f>I30*0.021621727981</f>
        <v>9005.5318666528274</v>
      </c>
      <c r="AB30" s="14">
        <f>I30*0.00209418083</f>
        <v>872.23427358215395</v>
      </c>
      <c r="AC30" s="15">
        <f>I30*0.038454418782</f>
        <v>16016.411549494369</v>
      </c>
      <c r="AD30" s="14">
        <f>I30*0.067801027597</f>
        <v>28239.38563805537</v>
      </c>
      <c r="AE30" s="15">
        <f>I30*0.012760851978</f>
        <v>5314.9433400745165</v>
      </c>
      <c r="AF30" s="14">
        <f>I30*0.072016026249</f>
        <v>29994.948593608246</v>
      </c>
      <c r="AG30" s="15">
        <f>I30*0.006184398003</f>
        <v>2575.8252689619112</v>
      </c>
      <c r="AH30" s="15">
        <f>I30*0.004366518238</f>
        <v>1818.6714388963042</v>
      </c>
      <c r="AI30" s="64">
        <f>I30*0.019708146889</f>
        <v>8208.5180702266789</v>
      </c>
      <c r="AJ30" s="14">
        <f>I30*0.026908215844</f>
        <v>11207.374150246207</v>
      </c>
      <c r="AK30" s="15">
        <f>I30*0.01836376993</f>
        <v>7648.5799581707333</v>
      </c>
      <c r="AL30" s="14">
        <f>I30*0.036977198467</f>
        <v>15401.143674859673</v>
      </c>
      <c r="AM30" s="15">
        <f>I30*0.022275994495</f>
        <v>9278.0363559465804</v>
      </c>
      <c r="AN30" s="14">
        <f>I30*0.000664145731</f>
        <v>276.61922071527778</v>
      </c>
      <c r="AO30" s="15">
        <f>I30*0.024723925078</f>
        <v>10297.608745902297</v>
      </c>
      <c r="AP30" s="14">
        <f>I30*0.026998574469</f>
        <v>11245.008860921482</v>
      </c>
      <c r="AQ30" s="15">
        <f>I30*0.028132809688</f>
        <v>11717.422139728813</v>
      </c>
      <c r="AR30" s="14">
        <f>I30*0.002541311729</f>
        <v>1058.4659921130703</v>
      </c>
      <c r="AS30" s="15">
        <f>I30*0.015416150467</f>
        <v>6420.8852508772743</v>
      </c>
      <c r="AT30" s="14">
        <f>I30*0.001935482073</f>
        <v>806.13563823637742</v>
      </c>
      <c r="AU30" s="15">
        <f>I30*0.067950503019</f>
        <v>28301.642719324973</v>
      </c>
      <c r="AV30" s="14">
        <f>I30*0.021005084476</f>
        <v>8748.6975035750093</v>
      </c>
      <c r="AW30" s="10">
        <f>0.03*E30</f>
        <v>20825.189999999999</v>
      </c>
      <c r="AX30" s="6"/>
      <c r="AY30"/>
      <c r="AZ30" s="1"/>
      <c r="BA30" s="1"/>
      <c r="BB30" s="1"/>
      <c r="BC30" s="1"/>
      <c r="BJ30" s="1"/>
    </row>
    <row r="31" spans="1:62" s="37" customFormat="1" x14ac:dyDescent="0.25">
      <c r="A31" s="17"/>
      <c r="B31" s="17" t="s">
        <v>39</v>
      </c>
      <c r="C31" s="18">
        <v>0</v>
      </c>
      <c r="D31" s="59"/>
      <c r="E31" s="36">
        <f t="shared" si="178"/>
        <v>0</v>
      </c>
      <c r="F31" s="59">
        <f t="shared" si="45"/>
        <v>0</v>
      </c>
      <c r="G31" s="10">
        <f t="shared" si="46"/>
        <v>0</v>
      </c>
      <c r="H31" s="35">
        <f>0.07*G31</f>
        <v>0</v>
      </c>
      <c r="I31" s="12">
        <f t="shared" ref="I31:I84" si="180">G31-H31</f>
        <v>0</v>
      </c>
      <c r="J31" s="13">
        <f t="shared" si="179"/>
        <v>0</v>
      </c>
      <c r="K31" s="11">
        <f t="shared" si="7"/>
        <v>0</v>
      </c>
      <c r="L31" s="14">
        <f t="shared" si="8"/>
        <v>0</v>
      </c>
      <c r="M31" s="15">
        <f>(I6*0.036779545807)/4+I31*0.036779545807</f>
        <v>46296.245066003634</v>
      </c>
      <c r="N31" s="16">
        <f t="shared" si="10"/>
        <v>0</v>
      </c>
      <c r="O31" s="15">
        <f>(I6*0.0273939973)/4+I31*0.0273939973</f>
        <v>34482.187980061099</v>
      </c>
      <c r="P31" s="14">
        <f t="shared" si="47"/>
        <v>0</v>
      </c>
      <c r="Q31" s="15">
        <f>(I6*0.008369049504)/4+I31*0.008369049504</f>
        <v>10534.539193057635</v>
      </c>
      <c r="R31" s="14">
        <f t="shared" si="13"/>
        <v>0</v>
      </c>
      <c r="S31" s="15">
        <f t="shared" si="14"/>
        <v>0</v>
      </c>
      <c r="T31" s="14">
        <f t="shared" si="15"/>
        <v>0</v>
      </c>
      <c r="U31" s="15">
        <f t="shared" si="16"/>
        <v>0</v>
      </c>
      <c r="V31" s="14">
        <f t="shared" si="17"/>
        <v>0</v>
      </c>
      <c r="W31" s="15">
        <f t="shared" si="18"/>
        <v>0</v>
      </c>
      <c r="X31" s="14">
        <f t="shared" si="48"/>
        <v>0</v>
      </c>
      <c r="Y31" s="15">
        <f t="shared" si="20"/>
        <v>0</v>
      </c>
      <c r="Z31" s="14">
        <f t="shared" si="21"/>
        <v>0</v>
      </c>
      <c r="AA31" s="15">
        <f>(I6*0.021621727981)/4+I31*0.021621727981</f>
        <v>27216.345264609809</v>
      </c>
      <c r="AB31" s="14">
        <f t="shared" si="49"/>
        <v>0</v>
      </c>
      <c r="AC31" s="15">
        <f>(I6*0.038454418782)/4+I31*0.038454418782</f>
        <v>48404.491049026859</v>
      </c>
      <c r="AD31" s="14">
        <f t="shared" si="25"/>
        <v>0</v>
      </c>
      <c r="AE31" s="15">
        <f>(I6*0.012760851978)/4+I31*0.012760851978</f>
        <v>16062.719575836802</v>
      </c>
      <c r="AF31" s="14">
        <f t="shared" si="27"/>
        <v>0</v>
      </c>
      <c r="AG31" s="15">
        <f t="shared" si="28"/>
        <v>0</v>
      </c>
      <c r="AH31" s="15">
        <f>(I6*0.004366518238)/4+I31*0.004366518238</f>
        <v>5496.3538563640413</v>
      </c>
      <c r="AI31" s="64">
        <f>(I6*0.019708146889)/4+I31*0.019708146889</f>
        <v>24807.625492653249</v>
      </c>
      <c r="AJ31" s="14">
        <f>(I6*0.026908215844)/4+I31*0.026908215844</f>
        <v>33870.710680871183</v>
      </c>
      <c r="AK31" s="15">
        <f>(I6*0.01836376993)/4+I31*0.01836376993</f>
        <v>23115.391295919173</v>
      </c>
      <c r="AL31" s="14">
        <f>(I6*0.036977198467)/4+I31*0.036977198467</f>
        <v>46545.040307612238</v>
      </c>
      <c r="AM31" s="15">
        <f t="shared" si="34"/>
        <v>0</v>
      </c>
      <c r="AN31" s="14">
        <f t="shared" si="35"/>
        <v>0</v>
      </c>
      <c r="AO31" s="15">
        <f>(I6*0.024723925078)/4+I31*0.024723925078</f>
        <v>31121.235167258437</v>
      </c>
      <c r="AP31" s="14">
        <f>(I6*0.026998574469)/4+I31*0.026998574469</f>
        <v>33984.449579898886</v>
      </c>
      <c r="AQ31" s="15">
        <f>(I6*0.028132809688)/4+I31*0.028132809688</f>
        <v>35412.167908365089</v>
      </c>
      <c r="AR31" s="14">
        <f t="shared" si="39"/>
        <v>0</v>
      </c>
      <c r="AS31" s="15">
        <f t="shared" si="40"/>
        <v>0</v>
      </c>
      <c r="AT31" s="14">
        <f t="shared" si="41"/>
        <v>0</v>
      </c>
      <c r="AU31" s="15">
        <f t="shared" si="50"/>
        <v>0</v>
      </c>
      <c r="AV31" s="14">
        <f t="shared" si="43"/>
        <v>0</v>
      </c>
      <c r="AW31" s="10">
        <f t="shared" si="51"/>
        <v>0</v>
      </c>
    </row>
    <row r="32" spans="1:62" x14ac:dyDescent="0.25">
      <c r="A32" s="8"/>
      <c r="B32" s="17" t="s">
        <v>103</v>
      </c>
      <c r="C32" s="9">
        <v>2856323.4658083413</v>
      </c>
      <c r="D32" s="59">
        <v>25351.17</v>
      </c>
      <c r="E32" s="36">
        <f t="shared" si="178"/>
        <v>1428161.7329041706</v>
      </c>
      <c r="F32" s="59">
        <f>(C32*0.2)+D32</f>
        <v>596615.8631616683</v>
      </c>
      <c r="G32" s="10">
        <f>0.3*C32</f>
        <v>856897.03974250238</v>
      </c>
      <c r="H32" s="11"/>
      <c r="I32" s="12">
        <f>G32-H32</f>
        <v>856897.03974250238</v>
      </c>
      <c r="J32" s="13">
        <f t="shared" si="179"/>
        <v>14395.472655451042</v>
      </c>
      <c r="K32" s="11">
        <f>I32*0.040537116218</f>
        <v>34736.134886901986</v>
      </c>
      <c r="L32" s="14">
        <f>I32*0.026283332826</f>
        <v>22522.110093166339</v>
      </c>
      <c r="M32" s="15">
        <f>I32*0.036779545807</f>
        <v>31516.283925092066</v>
      </c>
      <c r="N32" s="16">
        <f>I32*0.052042873123</f>
        <v>44595.383918793341</v>
      </c>
      <c r="O32" s="15">
        <f>I32*0.0273939973</f>
        <v>23473.835193084102</v>
      </c>
      <c r="P32" s="14">
        <f>I32*0.016113929261</f>
        <v>13807.978282370988</v>
      </c>
      <c r="Q32" s="15">
        <f>I32*0.008369049504</f>
        <v>7171.413745436058</v>
      </c>
      <c r="R32" s="14">
        <f>I32*0.035025701951</f>
        <v>30013.420316715092</v>
      </c>
      <c r="S32" s="15">
        <f>I32*0.012353278939</f>
        <v>10585.488153942501</v>
      </c>
      <c r="T32" s="14">
        <f>I32*0.019717572454</f>
        <v>16895.929466740909</v>
      </c>
      <c r="U32" s="15">
        <f>I32*0.014582940317</f>
        <v>12496.07838837889</v>
      </c>
      <c r="V32" s="14">
        <f>I32*0.038494340111</f>
        <v>32985.686087956972</v>
      </c>
      <c r="W32" s="15">
        <f>I32*0.049959268385</f>
        <v>42809.949186807688</v>
      </c>
      <c r="X32" s="14">
        <f>I32*0.002185679049</f>
        <v>1872.9019069153078</v>
      </c>
      <c r="Y32" s="15">
        <f>I32*0.021010369789</f>
        <v>18003.723676089405</v>
      </c>
      <c r="Z32" s="14">
        <f>I32*0.043451006968</f>
        <v>37233.039244710046</v>
      </c>
      <c r="AA32" s="15">
        <f>I32*0.021621727981</f>
        <v>18527.594701036534</v>
      </c>
      <c r="AB32" s="14">
        <f>I32*0.00209418083</f>
        <v>1794.4973539124965</v>
      </c>
      <c r="AC32" s="15">
        <f>I32*0.038454418782</f>
        <v>32951.477619314282</v>
      </c>
      <c r="AD32" s="14">
        <f>I32*0.067801027597</f>
        <v>58098.499839369011</v>
      </c>
      <c r="AE32" s="15">
        <f>I32*0.012760851978</f>
        <v>10934.736284540457</v>
      </c>
      <c r="AF32" s="14">
        <f>I32*0.072016026249</f>
        <v>61710.319706786446</v>
      </c>
      <c r="AG32" s="15">
        <f>I32*0.006184398003</f>
        <v>5299.3923413601433</v>
      </c>
      <c r="AH32" s="15">
        <f>I32*0.004366518238</f>
        <v>3741.6565521238472</v>
      </c>
      <c r="AI32" s="11">
        <f>I32*0.019708146889</f>
        <v>16887.852727994508</v>
      </c>
      <c r="AJ32" s="14">
        <f>I32*0.026908215844</f>
        <v>23057.570501475901</v>
      </c>
      <c r="AK32" s="15">
        <f>I32*0.01836376993</f>
        <v>15735.860091529379</v>
      </c>
      <c r="AL32" s="14">
        <f>I32*0.036977198467</f>
        <v>31685.651904343296</v>
      </c>
      <c r="AM32" s="15">
        <f>I32*0.022275994495</f>
        <v>19088.23374008578</v>
      </c>
      <c r="AN32" s="14">
        <f>I32*0.000664145731</f>
        <v>569.10451085152033</v>
      </c>
      <c r="AO32" s="15">
        <f>I32*0.024723925078</f>
        <v>21185.858210153616</v>
      </c>
      <c r="AP32" s="14">
        <f>I32*0.026998574469</f>
        <v>23134.998539753604</v>
      </c>
      <c r="AQ32" s="15">
        <f>I32*0.028132809688</f>
        <v>24106.92134128639</v>
      </c>
      <c r="AR32" s="14">
        <f>I32*0.002541311729</f>
        <v>2177.6424976430008</v>
      </c>
      <c r="AS32" s="15">
        <f>I32*0.015416150467</f>
        <v>13210.053699397295</v>
      </c>
      <c r="AT32" s="14">
        <f>I32*0.001935482073</f>
        <v>1658.508858828382</v>
      </c>
      <c r="AU32" s="15">
        <f>I32*0.067950503019</f>
        <v>58226.584885995078</v>
      </c>
      <c r="AV32" s="14">
        <f>I32*0.021005084476</f>
        <v>17999.194707025592</v>
      </c>
      <c r="AW32" s="10">
        <f>0.03*E32</f>
        <v>42844.851987125119</v>
      </c>
      <c r="AY32"/>
      <c r="AZ32" s="1"/>
      <c r="BA32" s="1"/>
      <c r="BB32" s="1"/>
      <c r="BC32" s="1"/>
      <c r="BJ32" s="1"/>
    </row>
    <row r="33" spans="1:62" x14ac:dyDescent="0.25">
      <c r="A33" s="17"/>
      <c r="B33" s="17" t="s">
        <v>101</v>
      </c>
      <c r="C33" s="9">
        <v>5853112.385169562</v>
      </c>
      <c r="D33" s="59"/>
      <c r="E33" s="36">
        <f t="shared" si="178"/>
        <v>2926556.192584781</v>
      </c>
      <c r="F33" s="59">
        <f>(C33*0.2)+D33</f>
        <v>1170622.4770339124</v>
      </c>
      <c r="G33" s="10">
        <f>0.3*C33</f>
        <v>1755933.7155508685</v>
      </c>
      <c r="H33" s="35">
        <f>0.07*G33</f>
        <v>122915.3600885608</v>
      </c>
      <c r="I33" s="12">
        <f>G33-H33</f>
        <v>1633018.3554623078</v>
      </c>
      <c r="J33" s="13">
        <f t="shared" si="179"/>
        <v>27433.950628387582</v>
      </c>
      <c r="K33" s="11">
        <f>I33*0.040537116218</f>
        <v>66197.854861502798</v>
      </c>
      <c r="L33" s="14">
        <f>I33*0.026283332826</f>
        <v>42921.164947583013</v>
      </c>
      <c r="M33" s="15">
        <f>I33*0.036779545807</f>
        <v>60061.673408397757</v>
      </c>
      <c r="N33" s="16">
        <f>I33*0.052042873123</f>
        <v>84986.967080855</v>
      </c>
      <c r="O33" s="15">
        <f>I33*0.0273939973</f>
        <v>44734.900420384904</v>
      </c>
      <c r="P33" s="14">
        <f>I33*0.016113929261</f>
        <v>26314.342261834179</v>
      </c>
      <c r="Q33" s="15">
        <f>I33*0.008369049504</f>
        <v>13666.811457804723</v>
      </c>
      <c r="R33" s="14">
        <f>I33*0.035025701951</f>
        <v>57197.614198934963</v>
      </c>
      <c r="S33" s="15">
        <f>I33*0.012353278939</f>
        <v>20173.131257532943</v>
      </c>
      <c r="T33" s="14">
        <f>I33*0.019717572454</f>
        <v>32199.157742539981</v>
      </c>
      <c r="U33" s="15">
        <f>I33*0.014582940317</f>
        <v>23814.209214272327</v>
      </c>
      <c r="V33" s="14">
        <f>I33*0.038494340111</f>
        <v>62861.963982671979</v>
      </c>
      <c r="W33" s="15">
        <f>I33*0.049959268385</f>
        <v>81584.402298172761</v>
      </c>
      <c r="X33" s="14">
        <f>I33*0.002185679049</f>
        <v>3569.2540061664008</v>
      </c>
      <c r="Y33" s="15">
        <f>I33*0.021010369789</f>
        <v>34310.319520487741</v>
      </c>
      <c r="Z33" s="14">
        <f>I33*0.043451006968</f>
        <v>70956.291942064636</v>
      </c>
      <c r="AA33" s="15">
        <f>I33*0.021621727981</f>
        <v>35308.678669785986</v>
      </c>
      <c r="AB33" s="14">
        <f>I33*0.00209418083</f>
        <v>3419.8357350472907</v>
      </c>
      <c r="AC33" s="15">
        <f>I33*0.038454418782</f>
        <v>62796.771719640514</v>
      </c>
      <c r="AD33" s="14">
        <f>I33*0.067801027597</f>
        <v>110720.3225851075</v>
      </c>
      <c r="AE33" s="15">
        <f>I33*0.012760851978</f>
        <v>20838.705511411499</v>
      </c>
      <c r="AF33" s="14">
        <f>I33*0.072016026249</f>
        <v>117603.49275207237</v>
      </c>
      <c r="AG33" s="15">
        <f>I33*0.006184398003</f>
        <v>10099.235456383441</v>
      </c>
      <c r="AH33" s="15">
        <f>I33*0.004366518238</f>
        <v>7130.6044321149338</v>
      </c>
      <c r="AI33" s="64">
        <f>I33*0.019708146889</f>
        <v>32183.76562188438</v>
      </c>
      <c r="AJ33" s="14">
        <f>I33*0.026908215844</f>
        <v>43941.610385993699</v>
      </c>
      <c r="AK33" s="15">
        <f>I33*0.01836376993</f>
        <v>29988.373371176778</v>
      </c>
      <c r="AL33" s="14">
        <f>I33*0.036977198467</f>
        <v>60384.443830183707</v>
      </c>
      <c r="AM33" s="15">
        <f>I33*0.022275994495</f>
        <v>36377.107896512323</v>
      </c>
      <c r="AN33" s="14">
        <f>I33*0.000664145731</f>
        <v>1084.5621694249323</v>
      </c>
      <c r="AO33" s="15">
        <f>I33*0.024723925078</f>
        <v>40374.623471448867</v>
      </c>
      <c r="AP33" s="14">
        <f>I33*0.026998574469</f>
        <v>44089.167679193029</v>
      </c>
      <c r="AQ33" s="15">
        <f>I33*0.028132809688</f>
        <v>45941.394611231837</v>
      </c>
      <c r="AR33" s="14">
        <f>I33*0.002541311729</f>
        <v>4150.0087004086545</v>
      </c>
      <c r="AS33" s="15">
        <f>I33*0.015416150467</f>
        <v>25174.856683179827</v>
      </c>
      <c r="AT33" s="14">
        <f>I33*0.001935482073</f>
        <v>3160.6777518772383</v>
      </c>
      <c r="AU33" s="15">
        <f>I33*0.067950503019</f>
        <v>110964.41869292397</v>
      </c>
      <c r="AV33" s="14">
        <f>I33*0.021005084476</f>
        <v>34301.68850734437</v>
      </c>
      <c r="AW33" s="10">
        <f>0.03*E33</f>
        <v>87796.685777543433</v>
      </c>
      <c r="AY33"/>
      <c r="AZ33" s="1"/>
      <c r="BA33" s="1"/>
      <c r="BB33" s="1"/>
      <c r="BC33" s="1"/>
      <c r="BJ33" s="1"/>
    </row>
    <row r="34" spans="1:62" x14ac:dyDescent="0.25">
      <c r="A34" s="17"/>
      <c r="B34" s="17" t="s">
        <v>43</v>
      </c>
      <c r="C34" s="21">
        <v>1612963.4208181764</v>
      </c>
      <c r="D34" s="59">
        <v>34664.49</v>
      </c>
      <c r="E34" s="36">
        <f t="shared" si="178"/>
        <v>806481.71040908818</v>
      </c>
      <c r="F34" s="59">
        <f>(C34*0.2)+D34</f>
        <v>357257.1741636353</v>
      </c>
      <c r="G34" s="10">
        <f>0.3*C34</f>
        <v>483889.02624545287</v>
      </c>
      <c r="H34" s="11"/>
      <c r="I34" s="12">
        <f>G34-H34</f>
        <v>483889.02624545287</v>
      </c>
      <c r="J34" s="13">
        <f t="shared" si="179"/>
        <v>8129.111109640985</v>
      </c>
      <c r="K34" s="11">
        <f>I34*0.040537116218</f>
        <v>19615.465693526774</v>
      </c>
      <c r="L34" s="14">
        <f>I34*0.026283332826</f>
        <v>12718.216327658287</v>
      </c>
      <c r="M34" s="15">
        <f>I34*0.036779545807</f>
        <v>17797.218606299259</v>
      </c>
      <c r="N34" s="16">
        <f>I34*0.052042873123</f>
        <v>25182.975198504122</v>
      </c>
      <c r="O34" s="15">
        <f>I34*0.0273939973</f>
        <v>13255.654678467565</v>
      </c>
      <c r="P34" s="14">
        <f>I34*0.016113929261</f>
        <v>7797.3535390933994</v>
      </c>
      <c r="Q34" s="15">
        <f>I34*0.008369049504</f>
        <v>4049.69121509055</v>
      </c>
      <c r="R34" s="14">
        <f>I34*0.035025701951</f>
        <v>16948.552810632849</v>
      </c>
      <c r="S34" s="15">
        <f>I34*0.012353278939</f>
        <v>5977.6161167311711</v>
      </c>
      <c r="T34" s="14">
        <f>I34*0.019717572454</f>
        <v>9541.1169346902243</v>
      </c>
      <c r="U34" s="15">
        <f>I34*0.014582940317</f>
        <v>7056.5247897886857</v>
      </c>
      <c r="V34" s="14">
        <f>I34*0.038494340111</f>
        <v>18626.988752273068</v>
      </c>
      <c r="W34" s="15">
        <f>I34*0.049959268385</f>
        <v>24174.741730752889</v>
      </c>
      <c r="X34" s="14">
        <f>I34*0.002185679049</f>
        <v>1057.6261067056976</v>
      </c>
      <c r="Y34" s="15">
        <f>I34*0.021010369789</f>
        <v>10166.687378256092</v>
      </c>
      <c r="Z34" s="14">
        <f>I34*0.043451006968</f>
        <v>21025.465451129909</v>
      </c>
      <c r="AA34" s="15">
        <f>I34*0.021621727981</f>
        <v>10462.516898470152</v>
      </c>
      <c r="AB34" s="14">
        <f>I34*0.00209418083</f>
        <v>1013.3511226105942</v>
      </c>
      <c r="AC34" s="15">
        <f>I34*0.038454418782</f>
        <v>18607.671259256833</v>
      </c>
      <c r="AD34" s="14">
        <f>I34*0.067801027597</f>
        <v>32808.173222353413</v>
      </c>
      <c r="AE34" s="15">
        <f>I34*0.012760851978</f>
        <v>6174.8362376967816</v>
      </c>
      <c r="AF34" s="14">
        <f>I34*0.072016026249</f>
        <v>34847.764815695584</v>
      </c>
      <c r="AG34" s="15">
        <f>I34*0.006184398003</f>
        <v>2992.5623275859934</v>
      </c>
      <c r="AH34" s="15">
        <f>I34*0.004366518238</f>
        <v>2112.9102582688306</v>
      </c>
      <c r="AI34" s="64">
        <f>I34*0.019708146889</f>
        <v>9536.5560072205626</v>
      </c>
      <c r="AJ34" s="14">
        <f>I34*0.026908215844</f>
        <v>13020.590362755627</v>
      </c>
      <c r="AK34" s="15">
        <f>I34*0.01836376993</f>
        <v>8886.0267496232282</v>
      </c>
      <c r="AL34" s="14">
        <f>I34*0.036977198467</f>
        <v>17892.86055948148</v>
      </c>
      <c r="AM34" s="15">
        <f>I34*0.022275994495</f>
        <v>10779.109284834618</v>
      </c>
      <c r="AN34" s="14">
        <f>I34*0.000664145731</f>
        <v>321.37283105866447</v>
      </c>
      <c r="AO34" s="15">
        <f>I34*0.024723925078</f>
        <v>11963.636030958953</v>
      </c>
      <c r="AP34" s="14">
        <f>I34*0.026998574469</f>
        <v>13064.313909819755</v>
      </c>
      <c r="AQ34" s="15">
        <f>I34*0.028132809688</f>
        <v>13613.157885474962</v>
      </c>
      <c r="AR34" s="14">
        <f>I34*0.002541311729</f>
        <v>1229.7128579319583</v>
      </c>
      <c r="AS34" s="15">
        <f>I34*0.015416150467</f>
        <v>7459.7060379300128</v>
      </c>
      <c r="AT34" s="14">
        <f>I34*0.001935482073</f>
        <v>936.5585356195005</v>
      </c>
      <c r="AU34" s="15">
        <f>I34*0.067950503019</f>
        <v>32880.502738752621</v>
      </c>
      <c r="AV34" s="14">
        <f>I34*0.021005084476</f>
        <v>10164.129873295118</v>
      </c>
      <c r="AW34" s="10">
        <f>0.03*E34</f>
        <v>24194.451312272646</v>
      </c>
      <c r="AY34"/>
      <c r="AZ34" s="1"/>
      <c r="BA34" s="1"/>
      <c r="BB34" s="1"/>
      <c r="BC34" s="1"/>
      <c r="BJ34" s="1"/>
    </row>
    <row r="35" spans="1:62" x14ac:dyDescent="0.25">
      <c r="A35" s="17"/>
      <c r="B35" s="17" t="s">
        <v>44</v>
      </c>
      <c r="C35" s="21">
        <v>1586535.5628056505</v>
      </c>
      <c r="D35" s="59">
        <v>41461.54</v>
      </c>
      <c r="E35" s="36">
        <f t="shared" si="178"/>
        <v>793267.78140282526</v>
      </c>
      <c r="F35" s="59">
        <f>(C35*0.2)+D35</f>
        <v>358768.65256113012</v>
      </c>
      <c r="G35" s="10">
        <f>0.3*C35</f>
        <v>475960.66884169512</v>
      </c>
      <c r="H35" s="11"/>
      <c r="I35" s="12">
        <f>G35-H35</f>
        <v>475960.66884169512</v>
      </c>
      <c r="J35" s="13">
        <f t="shared" si="179"/>
        <v>7995.9183841266868</v>
      </c>
      <c r="K35" s="11">
        <f>I35*0.040537116218</f>
        <v>19294.072948032805</v>
      </c>
      <c r="L35" s="14">
        <f>I35*0.026283332826</f>
        <v>12509.832671251841</v>
      </c>
      <c r="M35" s="15">
        <f>I35*0.036779545807</f>
        <v>17505.617221993482</v>
      </c>
      <c r="N35" s="16">
        <f>I35*0.052042873123</f>
        <v>24770.360700066562</v>
      </c>
      <c r="O35" s="15">
        <f>I35*0.0273939973</f>
        <v>13038.46527715559</v>
      </c>
      <c r="P35" s="14">
        <f>I35*0.016113929261</f>
        <v>7669.5965487333215</v>
      </c>
      <c r="Q35" s="15">
        <f>I35*0.008369049504</f>
        <v>3983.3383994930969</v>
      </c>
      <c r="R35" s="14">
        <f>I35*0.035025701951</f>
        <v>16670.856527247826</v>
      </c>
      <c r="S35" s="15">
        <f>I35*0.012353278939</f>
        <v>5879.6749061944656</v>
      </c>
      <c r="T35" s="14">
        <f>I35*0.019717572454</f>
        <v>9384.788973140423</v>
      </c>
      <c r="U35" s="15">
        <f>I35*0.014582940317</f>
        <v>6940.9060269578413</v>
      </c>
      <c r="V35" s="14">
        <f>I35*0.038494340111</f>
        <v>18321.791865851254</v>
      </c>
      <c r="W35" s="15">
        <f>I35*0.049959268385</f>
        <v>23778.646795366352</v>
      </c>
      <c r="X35" s="14">
        <f>I35*0.002185679049</f>
        <v>1040.2972620353203</v>
      </c>
      <c r="Y35" s="15">
        <f>I35*0.021010369789</f>
        <v>10000.109657383786</v>
      </c>
      <c r="Z35" s="14">
        <f>I35*0.043451006968</f>
        <v>20680.970338334435</v>
      </c>
      <c r="AA35" s="15">
        <f>I35*0.021621727981</f>
        <v>10291.092111349955</v>
      </c>
      <c r="AB35" s="14">
        <f>I35*0.00209418083</f>
        <v>996.74770852225618</v>
      </c>
      <c r="AC35" s="15">
        <f>I35*0.038454418782</f>
        <v>18302.790883399361</v>
      </c>
      <c r="AD35" s="14">
        <f>I35*0.067801027597</f>
        <v>32270.62244322235</v>
      </c>
      <c r="AE35" s="15">
        <f>I35*0.012760851978</f>
        <v>6073.6636424387489</v>
      </c>
      <c r="AF35" s="14">
        <f>I35*0.072016026249</f>
        <v>34276.796020795111</v>
      </c>
      <c r="AG35" s="15">
        <f>I35*0.006184398003</f>
        <v>2943.5302098911238</v>
      </c>
      <c r="AH35" s="15">
        <f>I35*0.004366518238</f>
        <v>2078.2909410679399</v>
      </c>
      <c r="AI35" s="64">
        <f>I35*0.019708146889</f>
        <v>9380.3027749188132</v>
      </c>
      <c r="AJ35" s="14">
        <f>I35*0.026908215844</f>
        <v>12807.252410446938</v>
      </c>
      <c r="AK35" s="15">
        <f>I35*0.01836376993</f>
        <v>8740.4322183378081</v>
      </c>
      <c r="AL35" s="14">
        <f>I35*0.036977198467</f>
        <v>17599.692114245423</v>
      </c>
      <c r="AM35" s="15">
        <f>I35*0.022275994495</f>
        <v>10602.497238954118</v>
      </c>
      <c r="AN35" s="14">
        <f>I35*0.000664145731</f>
        <v>316.10724633511654</v>
      </c>
      <c r="AO35" s="15">
        <f>I35*0.024723925078</f>
        <v>11767.615916516839</v>
      </c>
      <c r="AP35" s="14">
        <f>I35*0.026998574469</f>
        <v>12850.259562037554</v>
      </c>
      <c r="AQ35" s="15">
        <f>I35*0.028132809688</f>
        <v>13390.1109154966</v>
      </c>
      <c r="AR35" s="14">
        <f>I35*0.002541311729</f>
        <v>1209.5644302700848</v>
      </c>
      <c r="AS35" s="15">
        <f>I35*0.015416150467</f>
        <v>7337.4812872375305</v>
      </c>
      <c r="AT35" s="14">
        <f>I35*0.001935482073</f>
        <v>921.21334199619059</v>
      </c>
      <c r="AU35" s="15">
        <f>I35*0.067950503019</f>
        <v>32341.766865052865</v>
      </c>
      <c r="AV35" s="14">
        <f>I35*0.021005084476</f>
        <v>9997.5940562732667</v>
      </c>
      <c r="AW35" s="10">
        <f>0.03*E35</f>
        <v>23798.033442084758</v>
      </c>
      <c r="AY35"/>
      <c r="AZ35" s="1"/>
      <c r="BA35" s="1"/>
      <c r="BB35" s="1"/>
      <c r="BC35" s="1"/>
      <c r="BJ35" s="1"/>
    </row>
    <row r="36" spans="1:62" x14ac:dyDescent="0.25">
      <c r="A36" s="3" t="s">
        <v>66</v>
      </c>
      <c r="B36" s="4"/>
      <c r="C36" s="5">
        <f>SUM(C37:C42)</f>
        <v>14201698.972127462</v>
      </c>
      <c r="D36" s="5">
        <f t="shared" ref="D36:AW36" si="181">SUM(D37:D42)</f>
        <v>159759.95000000001</v>
      </c>
      <c r="E36" s="5">
        <f t="shared" si="181"/>
        <v>7100849.4860637309</v>
      </c>
      <c r="F36" s="5">
        <f t="shared" si="181"/>
        <v>3000099.7444254928</v>
      </c>
      <c r="G36" s="5">
        <f t="shared" si="181"/>
        <v>4260509.6916382387</v>
      </c>
      <c r="H36" s="5">
        <f t="shared" si="181"/>
        <v>141908.14097660119</v>
      </c>
      <c r="I36" s="5">
        <f t="shared" si="181"/>
        <v>4118601.5506616374</v>
      </c>
      <c r="J36" s="5">
        <f t="shared" si="181"/>
        <v>69190.594962335599</v>
      </c>
      <c r="K36" s="5">
        <f t="shared" si="181"/>
        <v>166956.22971480581</v>
      </c>
      <c r="L36" s="5">
        <f t="shared" si="181"/>
        <v>108250.57533371953</v>
      </c>
      <c r="M36" s="5">
        <f t="shared" si="181"/>
        <v>151480.29439334091</v>
      </c>
      <c r="N36" s="5">
        <f t="shared" si="181"/>
        <v>214343.85794527462</v>
      </c>
      <c r="O36" s="5">
        <f t="shared" si="181"/>
        <v>112824.9597586007</v>
      </c>
      <c r="P36" s="5">
        <f t="shared" si="181"/>
        <v>66366.854041606523</v>
      </c>
      <c r="Q36" s="5">
        <f t="shared" si="181"/>
        <v>34468.780264738409</v>
      </c>
      <c r="R36" s="5">
        <f t="shared" si="181"/>
        <v>144256.91036840095</v>
      </c>
      <c r="S36" s="5">
        <f t="shared" si="181"/>
        <v>50878.23379392115</v>
      </c>
      <c r="T36" s="5">
        <f t="shared" si="181"/>
        <v>81208.82448432759</v>
      </c>
      <c r="U36" s="5">
        <f t="shared" si="181"/>
        <v>60061.320602802312</v>
      </c>
      <c r="V36" s="5">
        <f t="shared" si="181"/>
        <v>158542.8488728611</v>
      </c>
      <c r="W36" s="5">
        <f t="shared" si="181"/>
        <v>205762.32024038193</v>
      </c>
      <c r="X36" s="5">
        <f t="shared" si="181"/>
        <v>9001.9411204600528</v>
      </c>
      <c r="Y36" s="5">
        <f t="shared" si="181"/>
        <v>86533.34159294983</v>
      </c>
      <c r="Z36" s="5">
        <f t="shared" si="181"/>
        <v>178957.38467621445</v>
      </c>
      <c r="AA36" s="5">
        <f t="shared" si="181"/>
        <v>89051.282390530716</v>
      </c>
      <c r="AB36" s="5">
        <f t="shared" si="181"/>
        <v>8625.0964138038744</v>
      </c>
      <c r="AC36" s="5">
        <f t="shared" si="181"/>
        <v>158378.42882533718</v>
      </c>
      <c r="AD36" s="5">
        <f t="shared" si="181"/>
        <v>279245.41739745671</v>
      </c>
      <c r="AE36" s="5">
        <f t="shared" si="181"/>
        <v>52556.864744354425</v>
      </c>
      <c r="AF36" s="5">
        <f t="shared" si="181"/>
        <v>296605.31738162064</v>
      </c>
      <c r="AG36" s="5">
        <f t="shared" si="181"/>
        <v>25471.071205064538</v>
      </c>
      <c r="AH36" s="5">
        <f t="shared" si="181"/>
        <v>17983.948786019118</v>
      </c>
      <c r="AI36" s="5">
        <f t="shared" si="181"/>
        <v>81170.004337702732</v>
      </c>
      <c r="AJ36" s="5">
        <f t="shared" si="181"/>
        <v>110824.21950063643</v>
      </c>
      <c r="AK36" s="5">
        <f t="shared" si="181"/>
        <v>75633.051309691553</v>
      </c>
      <c r="AL36" s="5">
        <f t="shared" si="181"/>
        <v>152294.34694530931</v>
      </c>
      <c r="AM36" s="5">
        <f t="shared" si="181"/>
        <v>91745.94546963711</v>
      </c>
      <c r="AN36" s="5">
        <f t="shared" si="181"/>
        <v>2735.351637561907</v>
      </c>
      <c r="AO36" s="5">
        <f t="shared" si="181"/>
        <v>101827.99616469293</v>
      </c>
      <c r="AP36" s="5">
        <f t="shared" si="181"/>
        <v>111196.37067367708</v>
      </c>
      <c r="AQ36" s="5">
        <f t="shared" si="181"/>
        <v>115867.83360546554</v>
      </c>
      <c r="AR36" s="5">
        <f t="shared" si="181"/>
        <v>10466.65042777401</v>
      </c>
      <c r="AS36" s="5">
        <f t="shared" si="181"/>
        <v>63492.98121861933</v>
      </c>
      <c r="AT36" s="5">
        <f t="shared" si="181"/>
        <v>7971.4794671356012</v>
      </c>
      <c r="AU36" s="5">
        <f t="shared" si="181"/>
        <v>279861.04710229172</v>
      </c>
      <c r="AV36" s="5">
        <f t="shared" si="181"/>
        <v>86511.573494632277</v>
      </c>
      <c r="AW36" s="5">
        <f t="shared" si="181"/>
        <v>213025.48458191194</v>
      </c>
      <c r="AX36" s="6"/>
      <c r="AY36"/>
      <c r="AZ36" s="1"/>
      <c r="BA36" s="1"/>
      <c r="BB36" s="1"/>
      <c r="BC36" s="1"/>
      <c r="BJ36" s="1"/>
    </row>
    <row r="37" spans="1:62" x14ac:dyDescent="0.25">
      <c r="A37" s="8"/>
      <c r="B37" s="17" t="s">
        <v>102</v>
      </c>
      <c r="C37" s="21">
        <v>1388346</v>
      </c>
      <c r="D37" s="59">
        <v>26593.77</v>
      </c>
      <c r="E37" s="10">
        <f t="shared" ref="E37:E42" si="182">0.5*C37</f>
        <v>694173</v>
      </c>
      <c r="F37" s="59">
        <f>(C37*0.2)+D37</f>
        <v>304262.97000000003</v>
      </c>
      <c r="G37" s="10">
        <f>0.3*C37</f>
        <v>416503.8</v>
      </c>
      <c r="H37" s="11"/>
      <c r="I37" s="12">
        <f>G37-H37</f>
        <v>416503.8</v>
      </c>
      <c r="J37" s="13">
        <f t="shared" ref="J37:J42" si="183">I37*0.016799535986</f>
        <v>6997.0705764057475</v>
      </c>
      <c r="K37" s="11">
        <f>I37*0.040537116218</f>
        <v>16883.862945838628</v>
      </c>
      <c r="L37" s="14">
        <f>I37*0.026283332826</f>
        <v>10947.107998693738</v>
      </c>
      <c r="M37" s="15">
        <f>I37*0.036779545807</f>
        <v>15318.820590889565</v>
      </c>
      <c r="N37" s="16">
        <f>I37*0.052042873123</f>
        <v>21676.054418647367</v>
      </c>
      <c r="O37" s="15">
        <f>I37*0.0273939973</f>
        <v>11409.70397263974</v>
      </c>
      <c r="P37" s="14">
        <f>I37*0.016113929261</f>
        <v>6711.5127701376914</v>
      </c>
      <c r="Q37" s="15">
        <f>I37*0.008369049504</f>
        <v>3485.7409208041149</v>
      </c>
      <c r="R37" s="14">
        <f>I37*0.035025701951</f>
        <v>14588.337960258914</v>
      </c>
      <c r="S37" s="15">
        <f>I37*0.012353278939</f>
        <v>5145.1876205534682</v>
      </c>
      <c r="T37" s="14">
        <f>I37*0.019717572454</f>
        <v>8212.4438538663253</v>
      </c>
      <c r="U37" s="15">
        <f>I37*0.014582940317</f>
        <v>6073.8500572037046</v>
      </c>
      <c r="V37" s="14">
        <f>I37*0.038494340111</f>
        <v>16033.038934723923</v>
      </c>
      <c r="W37" s="15">
        <f>I37*0.049959268385</f>
        <v>20808.225127572361</v>
      </c>
      <c r="X37" s="14">
        <f>I37*0.002185679049</f>
        <v>910.34362948888622</v>
      </c>
      <c r="Y37" s="15">
        <f>I37*0.021010369789</f>
        <v>8750.8988565236978</v>
      </c>
      <c r="Z37" s="14">
        <f>I37*0.043451006968</f>
        <v>18097.509515998478</v>
      </c>
      <c r="AA37" s="15">
        <f>I37*0.021621727981</f>
        <v>9005.5318666528274</v>
      </c>
      <c r="AB37" s="14">
        <f>I37*0.00209418083</f>
        <v>872.23427358215395</v>
      </c>
      <c r="AC37" s="15">
        <f>I37*0.038454418782</f>
        <v>16016.411549494369</v>
      </c>
      <c r="AD37" s="14">
        <f>I37*0.067801027597</f>
        <v>28239.38563805537</v>
      </c>
      <c r="AE37" s="15">
        <f>I37*0.012760851978</f>
        <v>5314.9433400745165</v>
      </c>
      <c r="AF37" s="14">
        <f>I37*0.072016026249</f>
        <v>29994.948593608246</v>
      </c>
      <c r="AG37" s="15">
        <f>I37*0.006184398003</f>
        <v>2575.8252689619112</v>
      </c>
      <c r="AH37" s="15">
        <f>I37*0.004366518238</f>
        <v>1818.6714388963042</v>
      </c>
      <c r="AI37" s="64">
        <f>I37*0.019708146889</f>
        <v>8208.5180702266789</v>
      </c>
      <c r="AJ37" s="14">
        <f>I37*0.026908215844</f>
        <v>11207.374150246207</v>
      </c>
      <c r="AK37" s="15">
        <f>I37*0.01836376993</f>
        <v>7648.5799581707333</v>
      </c>
      <c r="AL37" s="14">
        <f>I37*0.036977198467</f>
        <v>15401.143674859673</v>
      </c>
      <c r="AM37" s="15">
        <f>I37*0.022275994495</f>
        <v>9278.0363559465804</v>
      </c>
      <c r="AN37" s="14">
        <f>I37*0.000664145731</f>
        <v>276.61922071527778</v>
      </c>
      <c r="AO37" s="15">
        <f>I37*0.024723925078</f>
        <v>10297.608745902297</v>
      </c>
      <c r="AP37" s="14">
        <f>I37*0.026998574469</f>
        <v>11245.008860921482</v>
      </c>
      <c r="AQ37" s="15">
        <f>I37*0.028132809688</f>
        <v>11717.422139728813</v>
      </c>
      <c r="AR37" s="14">
        <f>I37*0.002541311729</f>
        <v>1058.4659921130703</v>
      </c>
      <c r="AS37" s="15">
        <f>I37*0.015416150467</f>
        <v>6420.8852508772743</v>
      </c>
      <c r="AT37" s="14">
        <f>I37*0.001935482073</f>
        <v>806.13563823637742</v>
      </c>
      <c r="AU37" s="15">
        <f>I37*0.067950503019</f>
        <v>28301.642719324973</v>
      </c>
      <c r="AV37" s="14">
        <f>I37*0.021005084476</f>
        <v>8748.6975035750093</v>
      </c>
      <c r="AW37" s="10">
        <f>0.03*E37</f>
        <v>20825.189999999999</v>
      </c>
      <c r="AX37" s="6"/>
      <c r="AY37"/>
      <c r="AZ37" s="1"/>
      <c r="BA37" s="1"/>
      <c r="BB37" s="1"/>
      <c r="BC37" s="1"/>
      <c r="BJ37" s="1"/>
    </row>
    <row r="38" spans="1:62" x14ac:dyDescent="0.25">
      <c r="A38" s="17"/>
      <c r="B38" s="17" t="s">
        <v>104</v>
      </c>
      <c r="C38" s="9">
        <v>904418.1375257324</v>
      </c>
      <c r="D38" s="59"/>
      <c r="E38" s="10">
        <f t="shared" si="182"/>
        <v>452209.0687628662</v>
      </c>
      <c r="F38" s="59">
        <f t="shared" si="45"/>
        <v>180883.62750514649</v>
      </c>
      <c r="G38" s="10">
        <f t="shared" si="46"/>
        <v>271325.44125771971</v>
      </c>
      <c r="H38" s="11">
        <f>0.07*G38</f>
        <v>18992.780888040383</v>
      </c>
      <c r="I38" s="12">
        <f t="shared" si="180"/>
        <v>252332.66036967933</v>
      </c>
      <c r="J38" s="13">
        <f t="shared" si="183"/>
        <v>4239.0716083235448</v>
      </c>
      <c r="K38" s="11">
        <f t="shared" si="7"/>
        <v>10228.838379002813</v>
      </c>
      <c r="L38" s="14">
        <f t="shared" si="8"/>
        <v>6632.1432953663025</v>
      </c>
      <c r="M38" s="15">
        <f t="shared" ref="M38:M72" si="184">I38*0.036779545807</f>
        <v>9280.6806406687938</v>
      </c>
      <c r="N38" s="16">
        <f t="shared" si="10"/>
        <v>13132.116628408272</v>
      </c>
      <c r="O38" s="15">
        <f t="shared" si="11"/>
        <v>6912.400216868813</v>
      </c>
      <c r="P38" s="14">
        <f t="shared" si="47"/>
        <v>4066.0706394369504</v>
      </c>
      <c r="Q38" s="15">
        <f t="shared" si="12"/>
        <v>2111.7845261098651</v>
      </c>
      <c r="R38" s="14">
        <f t="shared" si="13"/>
        <v>8838.1285546112977</v>
      </c>
      <c r="S38" s="15">
        <f t="shared" si="14"/>
        <v>3117.1357389665995</v>
      </c>
      <c r="T38" s="14">
        <f t="shared" si="15"/>
        <v>4975.3875133497268</v>
      </c>
      <c r="U38" s="15">
        <f t="shared" si="16"/>
        <v>3679.752126200865</v>
      </c>
      <c r="V38" s="14">
        <f t="shared" si="17"/>
        <v>9713.3792493838882</v>
      </c>
      <c r="W38" s="15">
        <f t="shared" si="18"/>
        <v>12606.355101709863</v>
      </c>
      <c r="X38" s="14">
        <f t="shared" si="48"/>
        <v>551.51820914844075</v>
      </c>
      <c r="Y38" s="15">
        <f t="shared" si="20"/>
        <v>5301.6025042091087</v>
      </c>
      <c r="Z38" s="14">
        <f t="shared" si="21"/>
        <v>10964.108183976914</v>
      </c>
      <c r="AA38" s="15">
        <f t="shared" si="22"/>
        <v>5455.8681432352651</v>
      </c>
      <c r="AB38" s="14">
        <f t="shared" si="49"/>
        <v>528.43022012908318</v>
      </c>
      <c r="AC38" s="15">
        <f t="shared" si="24"/>
        <v>9703.3057942318228</v>
      </c>
      <c r="AD38" s="14">
        <f t="shared" si="25"/>
        <v>17108.413669349058</v>
      </c>
      <c r="AE38" s="15">
        <f t="shared" si="26"/>
        <v>3219.9797281924248</v>
      </c>
      <c r="AF38" s="14">
        <f t="shared" si="27"/>
        <v>18171.995492662827</v>
      </c>
      <c r="AG38" s="15">
        <f t="shared" si="28"/>
        <v>1560.5256008819222</v>
      </c>
      <c r="AH38" s="15">
        <f t="shared" si="29"/>
        <v>1101.8151635472645</v>
      </c>
      <c r="AI38" s="64">
        <f t="shared" si="30"/>
        <v>4973.0091354577899</v>
      </c>
      <c r="AJ38" s="14">
        <f t="shared" si="31"/>
        <v>6789.8216897180764</v>
      </c>
      <c r="AK38" s="15">
        <f t="shared" si="32"/>
        <v>4633.7789208536196</v>
      </c>
      <c r="AL38" s="14">
        <f t="shared" si="33"/>
        <v>9330.5548621957369</v>
      </c>
      <c r="AM38" s="15">
        <f t="shared" si="34"/>
        <v>5620.960953303681</v>
      </c>
      <c r="AN38" s="14">
        <f t="shared" si="35"/>
        <v>167.58565917639541</v>
      </c>
      <c r="AO38" s="15">
        <f t="shared" si="36"/>
        <v>6238.6537897123717</v>
      </c>
      <c r="AP38" s="14">
        <f t="shared" si="37"/>
        <v>6812.6221219516719</v>
      </c>
      <c r="AQ38" s="15">
        <f t="shared" si="38"/>
        <v>7098.8267122469279</v>
      </c>
      <c r="AR38" s="14">
        <f t="shared" si="39"/>
        <v>641.25594940723965</v>
      </c>
      <c r="AS38" s="15">
        <f t="shared" si="40"/>
        <v>3889.9982599973841</v>
      </c>
      <c r="AT38" s="14">
        <f t="shared" si="41"/>
        <v>488.3853405779119</v>
      </c>
      <c r="AU38" s="15">
        <f t="shared" si="50"/>
        <v>17146.131200242198</v>
      </c>
      <c r="AV38" s="14">
        <f t="shared" si="43"/>
        <v>5300.2688471189322</v>
      </c>
      <c r="AW38" s="10">
        <f t="shared" si="51"/>
        <v>13566.272062885986</v>
      </c>
      <c r="AY38"/>
      <c r="AZ38" s="1"/>
      <c r="BA38" s="1"/>
      <c r="BB38" s="1"/>
      <c r="BC38" s="1"/>
      <c r="BJ38" s="1"/>
    </row>
    <row r="39" spans="1:62" x14ac:dyDescent="0.25">
      <c r="A39" s="8"/>
      <c r="B39" s="17" t="s">
        <v>103</v>
      </c>
      <c r="C39" s="9">
        <v>2856323.4658083413</v>
      </c>
      <c r="D39" s="59">
        <v>57040.15</v>
      </c>
      <c r="E39" s="10">
        <f t="shared" si="182"/>
        <v>1428161.7329041706</v>
      </c>
      <c r="F39" s="59">
        <f>(C39*0.2)+D39</f>
        <v>628304.84316166828</v>
      </c>
      <c r="G39" s="10">
        <f>0.3*C39</f>
        <v>856897.03974250238</v>
      </c>
      <c r="H39" s="11"/>
      <c r="I39" s="12">
        <f>G39-H39</f>
        <v>856897.03974250238</v>
      </c>
      <c r="J39" s="13">
        <f t="shared" si="183"/>
        <v>14395.472655451042</v>
      </c>
      <c r="K39" s="11">
        <f>I39*0.040537116218</f>
        <v>34736.134886901986</v>
      </c>
      <c r="L39" s="14">
        <f>I39*0.026283332826</f>
        <v>22522.110093166339</v>
      </c>
      <c r="M39" s="15">
        <f>I39*0.036779545807</f>
        <v>31516.283925092066</v>
      </c>
      <c r="N39" s="16">
        <f>I39*0.052042873123</f>
        <v>44595.383918793341</v>
      </c>
      <c r="O39" s="15">
        <f>I39*0.0273939973</f>
        <v>23473.835193084102</v>
      </c>
      <c r="P39" s="14">
        <f>I39*0.016113929261</f>
        <v>13807.978282370988</v>
      </c>
      <c r="Q39" s="15">
        <f>I39*0.008369049504</f>
        <v>7171.413745436058</v>
      </c>
      <c r="R39" s="14">
        <f>I39*0.035025701951</f>
        <v>30013.420316715092</v>
      </c>
      <c r="S39" s="15">
        <f>I39*0.012353278939</f>
        <v>10585.488153942501</v>
      </c>
      <c r="T39" s="14">
        <f>I39*0.019717572454</f>
        <v>16895.929466740909</v>
      </c>
      <c r="U39" s="15">
        <f>I39*0.014582940317</f>
        <v>12496.07838837889</v>
      </c>
      <c r="V39" s="14">
        <f>I39*0.038494340111</f>
        <v>32985.686087956972</v>
      </c>
      <c r="W39" s="15">
        <f>I39*0.049959268385</f>
        <v>42809.949186807688</v>
      </c>
      <c r="X39" s="14">
        <f>I39*0.002185679049</f>
        <v>1872.9019069153078</v>
      </c>
      <c r="Y39" s="15">
        <f>I39*0.021010369789</f>
        <v>18003.723676089405</v>
      </c>
      <c r="Z39" s="14">
        <f>I39*0.043451006968</f>
        <v>37233.039244710046</v>
      </c>
      <c r="AA39" s="15">
        <f>I39*0.021621727981</f>
        <v>18527.594701036534</v>
      </c>
      <c r="AB39" s="14">
        <f>I39*0.00209418083</f>
        <v>1794.4973539124965</v>
      </c>
      <c r="AC39" s="15">
        <f>I39*0.038454418782</f>
        <v>32951.477619314282</v>
      </c>
      <c r="AD39" s="14">
        <f>I39*0.067801027597</f>
        <v>58098.499839369011</v>
      </c>
      <c r="AE39" s="15">
        <f>I39*0.012760851978</f>
        <v>10934.736284540457</v>
      </c>
      <c r="AF39" s="14">
        <f>I39*0.072016026249</f>
        <v>61710.319706786446</v>
      </c>
      <c r="AG39" s="15">
        <f>I39*0.006184398003</f>
        <v>5299.3923413601433</v>
      </c>
      <c r="AH39" s="15">
        <f>I39*0.004366518238</f>
        <v>3741.6565521238472</v>
      </c>
      <c r="AI39" s="11">
        <f>I39*0.019708146889</f>
        <v>16887.852727994508</v>
      </c>
      <c r="AJ39" s="14">
        <f>I39*0.026908215844</f>
        <v>23057.570501475901</v>
      </c>
      <c r="AK39" s="15">
        <f>I39*0.01836376993</f>
        <v>15735.860091529379</v>
      </c>
      <c r="AL39" s="14">
        <f>I39*0.036977198467</f>
        <v>31685.651904343296</v>
      </c>
      <c r="AM39" s="15">
        <f>I39*0.022275994495</f>
        <v>19088.23374008578</v>
      </c>
      <c r="AN39" s="14">
        <f>I39*0.000664145731</f>
        <v>569.10451085152033</v>
      </c>
      <c r="AO39" s="15">
        <f>I39*0.024723925078</f>
        <v>21185.858210153616</v>
      </c>
      <c r="AP39" s="14">
        <f>I39*0.026998574469</f>
        <v>23134.998539753604</v>
      </c>
      <c r="AQ39" s="15">
        <f>I39*0.028132809688</f>
        <v>24106.92134128639</v>
      </c>
      <c r="AR39" s="14">
        <f>I39*0.002541311729</f>
        <v>2177.6424976430008</v>
      </c>
      <c r="AS39" s="15">
        <f>I39*0.015416150467</f>
        <v>13210.053699397295</v>
      </c>
      <c r="AT39" s="14">
        <f>I39*0.001935482073</f>
        <v>1658.508858828382</v>
      </c>
      <c r="AU39" s="15">
        <f>I39*0.067950503019</f>
        <v>58226.584885995078</v>
      </c>
      <c r="AV39" s="14">
        <f>I39*0.021005084476</f>
        <v>17999.194707025592</v>
      </c>
      <c r="AW39" s="10">
        <f>0.03*E39</f>
        <v>42844.851987125119</v>
      </c>
      <c r="AY39"/>
      <c r="AZ39" s="1"/>
      <c r="BA39" s="1"/>
      <c r="BB39" s="1"/>
      <c r="BC39" s="1"/>
      <c r="BJ39" s="1"/>
    </row>
    <row r="40" spans="1:62" x14ac:dyDescent="0.25">
      <c r="A40" s="17"/>
      <c r="B40" s="17" t="s">
        <v>87</v>
      </c>
      <c r="C40" s="9">
        <v>5853112.385169562</v>
      </c>
      <c r="D40" s="59"/>
      <c r="E40" s="10">
        <f t="shared" si="182"/>
        <v>2926556.192584781</v>
      </c>
      <c r="F40" s="59">
        <f>(C40*0.2)+D40</f>
        <v>1170622.4770339124</v>
      </c>
      <c r="G40" s="10">
        <f>0.3*C40</f>
        <v>1755933.7155508685</v>
      </c>
      <c r="H40" s="11">
        <f>0.07*G40</f>
        <v>122915.3600885608</v>
      </c>
      <c r="I40" s="12">
        <f>G40-H40</f>
        <v>1633018.3554623078</v>
      </c>
      <c r="J40" s="13">
        <f t="shared" si="183"/>
        <v>27433.950628387582</v>
      </c>
      <c r="K40" s="11">
        <f>I40*0.040537116218</f>
        <v>66197.854861502798</v>
      </c>
      <c r="L40" s="14">
        <f>I40*0.026283332826</f>
        <v>42921.164947583013</v>
      </c>
      <c r="M40" s="15">
        <f>I40*0.036779545807</f>
        <v>60061.673408397757</v>
      </c>
      <c r="N40" s="16">
        <f>I40*0.052042873123</f>
        <v>84986.967080855</v>
      </c>
      <c r="O40" s="15">
        <f>I40*0.0273939973</f>
        <v>44734.900420384904</v>
      </c>
      <c r="P40" s="14">
        <f>I40*0.016113929261</f>
        <v>26314.342261834179</v>
      </c>
      <c r="Q40" s="15">
        <f>I40*0.008369049504</f>
        <v>13666.811457804723</v>
      </c>
      <c r="R40" s="14">
        <f>I40*0.035025701951</f>
        <v>57197.614198934963</v>
      </c>
      <c r="S40" s="15">
        <f>I40*0.012353278939</f>
        <v>20173.131257532943</v>
      </c>
      <c r="T40" s="14">
        <f>I40*0.019717572454</f>
        <v>32199.157742539981</v>
      </c>
      <c r="U40" s="15">
        <f>I40*0.014582940317</f>
        <v>23814.209214272327</v>
      </c>
      <c r="V40" s="14">
        <f>I40*0.038494340111</f>
        <v>62861.963982671979</v>
      </c>
      <c r="W40" s="15">
        <f>I40*0.049959268385</f>
        <v>81584.402298172761</v>
      </c>
      <c r="X40" s="14">
        <f>I40*0.002185679049</f>
        <v>3569.2540061664008</v>
      </c>
      <c r="Y40" s="15">
        <f>I40*0.021010369789</f>
        <v>34310.319520487741</v>
      </c>
      <c r="Z40" s="14">
        <f>I40*0.043451006968</f>
        <v>70956.291942064636</v>
      </c>
      <c r="AA40" s="15">
        <f>I40*0.021621727981</f>
        <v>35308.678669785986</v>
      </c>
      <c r="AB40" s="14">
        <f>I40*0.00209418083</f>
        <v>3419.8357350472907</v>
      </c>
      <c r="AC40" s="15">
        <f>I40*0.038454418782</f>
        <v>62796.771719640514</v>
      </c>
      <c r="AD40" s="14">
        <f>I40*0.067801027597</f>
        <v>110720.3225851075</v>
      </c>
      <c r="AE40" s="15">
        <f>I40*0.012760851978</f>
        <v>20838.705511411499</v>
      </c>
      <c r="AF40" s="14">
        <f>I40*0.072016026249</f>
        <v>117603.49275207237</v>
      </c>
      <c r="AG40" s="15">
        <f>I40*0.006184398003</f>
        <v>10099.235456383441</v>
      </c>
      <c r="AH40" s="15">
        <f>I40*0.004366518238</f>
        <v>7130.6044321149338</v>
      </c>
      <c r="AI40" s="11">
        <f>I40*0.019708146889</f>
        <v>32183.76562188438</v>
      </c>
      <c r="AJ40" s="14">
        <f>I40*0.026908215844</f>
        <v>43941.610385993699</v>
      </c>
      <c r="AK40" s="15">
        <f>I40*0.01836376993</f>
        <v>29988.373371176778</v>
      </c>
      <c r="AL40" s="14">
        <f>I40*0.036977198467</f>
        <v>60384.443830183707</v>
      </c>
      <c r="AM40" s="15">
        <f>I40*0.022275994495</f>
        <v>36377.107896512323</v>
      </c>
      <c r="AN40" s="14">
        <f>I40*0.000664145731</f>
        <v>1084.5621694249323</v>
      </c>
      <c r="AO40" s="15">
        <f>I40*0.024723925078</f>
        <v>40374.623471448867</v>
      </c>
      <c r="AP40" s="14">
        <f>I40*0.026998574469</f>
        <v>44089.167679193029</v>
      </c>
      <c r="AQ40" s="15">
        <f>I40*0.028132809688</f>
        <v>45941.394611231837</v>
      </c>
      <c r="AR40" s="14">
        <f>I40*0.002541311729</f>
        <v>4150.0087004086545</v>
      </c>
      <c r="AS40" s="15">
        <f>I40*0.015416150467</f>
        <v>25174.856683179827</v>
      </c>
      <c r="AT40" s="14">
        <f>I40*0.001935482073</f>
        <v>3160.6777518772383</v>
      </c>
      <c r="AU40" s="15">
        <f>I40*0.067950503019</f>
        <v>110964.41869292397</v>
      </c>
      <c r="AV40" s="14">
        <f>I40*0.021005084476</f>
        <v>34301.68850734437</v>
      </c>
      <c r="AW40" s="10">
        <f>0.03*E40</f>
        <v>87796.685777543433</v>
      </c>
      <c r="AY40"/>
      <c r="AZ40" s="1"/>
      <c r="BA40" s="1"/>
      <c r="BB40" s="1"/>
      <c r="BC40" s="1"/>
      <c r="BJ40" s="1"/>
    </row>
    <row r="41" spans="1:62" x14ac:dyDescent="0.25">
      <c r="A41" s="17"/>
      <c r="B41" s="17" t="s">
        <v>105</v>
      </c>
      <c r="C41" s="21">
        <v>1612963.4208181764</v>
      </c>
      <c r="D41" s="59">
        <v>34664.49</v>
      </c>
      <c r="E41" s="10">
        <f t="shared" si="182"/>
        <v>806481.71040908818</v>
      </c>
      <c r="F41" s="59">
        <f>(C41*0.2)+D41</f>
        <v>357257.1741636353</v>
      </c>
      <c r="G41" s="10">
        <f>0.3*C41</f>
        <v>483889.02624545287</v>
      </c>
      <c r="H41" s="11"/>
      <c r="I41" s="12">
        <f>G41-H41</f>
        <v>483889.02624545287</v>
      </c>
      <c r="J41" s="13">
        <f t="shared" si="183"/>
        <v>8129.111109640985</v>
      </c>
      <c r="K41" s="11">
        <f>I41*0.040537116218</f>
        <v>19615.465693526774</v>
      </c>
      <c r="L41" s="14">
        <f>I41*0.026283332826</f>
        <v>12718.216327658287</v>
      </c>
      <c r="M41" s="15">
        <f>I41*0.036779545807</f>
        <v>17797.218606299259</v>
      </c>
      <c r="N41" s="16">
        <f>I41*0.052042873123</f>
        <v>25182.975198504122</v>
      </c>
      <c r="O41" s="15">
        <f>I41*0.0273939973</f>
        <v>13255.654678467565</v>
      </c>
      <c r="P41" s="14">
        <f>I41*0.016113929261</f>
        <v>7797.3535390933994</v>
      </c>
      <c r="Q41" s="15">
        <f>I41*0.008369049504</f>
        <v>4049.69121509055</v>
      </c>
      <c r="R41" s="14">
        <f>I41*0.035025701951</f>
        <v>16948.552810632849</v>
      </c>
      <c r="S41" s="15">
        <f>I41*0.012353278939</f>
        <v>5977.6161167311711</v>
      </c>
      <c r="T41" s="14">
        <f>I41*0.019717572454</f>
        <v>9541.1169346902243</v>
      </c>
      <c r="U41" s="15">
        <f>I41*0.014582940317</f>
        <v>7056.5247897886857</v>
      </c>
      <c r="V41" s="14">
        <f>I41*0.038494340111</f>
        <v>18626.988752273068</v>
      </c>
      <c r="W41" s="15">
        <f>I41*0.049959268385</f>
        <v>24174.741730752889</v>
      </c>
      <c r="X41" s="14">
        <f>I41*0.002185679049</f>
        <v>1057.6261067056976</v>
      </c>
      <c r="Y41" s="15">
        <f>I41*0.021010369789</f>
        <v>10166.687378256092</v>
      </c>
      <c r="Z41" s="14">
        <f>I41*0.043451006968</f>
        <v>21025.465451129909</v>
      </c>
      <c r="AA41" s="15">
        <f>I41*0.021621727981</f>
        <v>10462.516898470152</v>
      </c>
      <c r="AB41" s="14">
        <f>I41*0.00209418083</f>
        <v>1013.3511226105942</v>
      </c>
      <c r="AC41" s="15">
        <f>I41*0.038454418782</f>
        <v>18607.671259256833</v>
      </c>
      <c r="AD41" s="14">
        <f>I41*0.067801027597</f>
        <v>32808.173222353413</v>
      </c>
      <c r="AE41" s="15">
        <f>I41*0.012760851978</f>
        <v>6174.8362376967816</v>
      </c>
      <c r="AF41" s="14">
        <f>I41*0.072016026249</f>
        <v>34847.764815695584</v>
      </c>
      <c r="AG41" s="15">
        <f>I41*0.006184398003</f>
        <v>2992.5623275859934</v>
      </c>
      <c r="AH41" s="15">
        <f>I41*0.004366518238</f>
        <v>2112.9102582688306</v>
      </c>
      <c r="AI41" s="64">
        <f>I41*0.019708146889</f>
        <v>9536.5560072205626</v>
      </c>
      <c r="AJ41" s="14">
        <f>I41*0.026908215844</f>
        <v>13020.590362755627</v>
      </c>
      <c r="AK41" s="15">
        <f>I41*0.01836376993</f>
        <v>8886.0267496232282</v>
      </c>
      <c r="AL41" s="14">
        <f>I41*0.036977198467</f>
        <v>17892.86055948148</v>
      </c>
      <c r="AM41" s="15">
        <f>I41*0.022275994495</f>
        <v>10779.109284834618</v>
      </c>
      <c r="AN41" s="14">
        <f>I41*0.000664145731</f>
        <v>321.37283105866447</v>
      </c>
      <c r="AO41" s="15">
        <f>I41*0.024723925078</f>
        <v>11963.636030958953</v>
      </c>
      <c r="AP41" s="14">
        <f>I41*0.026998574469</f>
        <v>13064.313909819755</v>
      </c>
      <c r="AQ41" s="15">
        <f>I41*0.028132809688</f>
        <v>13613.157885474962</v>
      </c>
      <c r="AR41" s="14">
        <f>I41*0.002541311729</f>
        <v>1229.7128579319583</v>
      </c>
      <c r="AS41" s="15">
        <f>I41*0.015416150467</f>
        <v>7459.7060379300128</v>
      </c>
      <c r="AT41" s="14">
        <f>I41*0.001935482073</f>
        <v>936.5585356195005</v>
      </c>
      <c r="AU41" s="15">
        <f>I41*0.067950503019</f>
        <v>32880.502738752621</v>
      </c>
      <c r="AV41" s="14">
        <f>I41*0.021005084476</f>
        <v>10164.129873295118</v>
      </c>
      <c r="AW41" s="10">
        <f>0.03*E41</f>
        <v>24194.451312272646</v>
      </c>
      <c r="AY41"/>
      <c r="AZ41" s="1"/>
      <c r="BA41" s="1"/>
      <c r="BB41" s="1"/>
      <c r="BC41" s="1"/>
      <c r="BJ41" s="1"/>
    </row>
    <row r="42" spans="1:62" x14ac:dyDescent="0.25">
      <c r="A42" s="17"/>
      <c r="B42" s="17" t="s">
        <v>106</v>
      </c>
      <c r="C42" s="21">
        <v>1586535.5628056505</v>
      </c>
      <c r="D42" s="59">
        <v>41461.54</v>
      </c>
      <c r="E42" s="10">
        <f t="shared" si="182"/>
        <v>793267.78140282526</v>
      </c>
      <c r="F42" s="59">
        <f>(C42*0.2)+D42</f>
        <v>358768.65256113012</v>
      </c>
      <c r="G42" s="10">
        <f>0.3*C42</f>
        <v>475960.66884169512</v>
      </c>
      <c r="H42" s="11"/>
      <c r="I42" s="12">
        <f>G42-H42</f>
        <v>475960.66884169512</v>
      </c>
      <c r="J42" s="13">
        <f t="shared" si="183"/>
        <v>7995.9183841266868</v>
      </c>
      <c r="K42" s="11">
        <f>I42*0.040537116218</f>
        <v>19294.072948032805</v>
      </c>
      <c r="L42" s="14">
        <f>I42*0.026283332826</f>
        <v>12509.832671251841</v>
      </c>
      <c r="M42" s="15">
        <f>I42*0.036779545807</f>
        <v>17505.617221993482</v>
      </c>
      <c r="N42" s="16">
        <f>I42*0.052042873123</f>
        <v>24770.360700066562</v>
      </c>
      <c r="O42" s="15">
        <f>I42*0.0273939973</f>
        <v>13038.46527715559</v>
      </c>
      <c r="P42" s="14">
        <f>I42*0.016113929261</f>
        <v>7669.5965487333215</v>
      </c>
      <c r="Q42" s="15">
        <f>I42*0.008369049504</f>
        <v>3983.3383994930969</v>
      </c>
      <c r="R42" s="14">
        <f>I42*0.035025701951</f>
        <v>16670.856527247826</v>
      </c>
      <c r="S42" s="15">
        <f>I42*0.012353278939</f>
        <v>5879.6749061944656</v>
      </c>
      <c r="T42" s="14">
        <f>I42*0.019717572454</f>
        <v>9384.788973140423</v>
      </c>
      <c r="U42" s="15">
        <f>I42*0.014582940317</f>
        <v>6940.9060269578413</v>
      </c>
      <c r="V42" s="14">
        <f>I42*0.038494340111</f>
        <v>18321.791865851254</v>
      </c>
      <c r="W42" s="15">
        <f>I42*0.049959268385</f>
        <v>23778.646795366352</v>
      </c>
      <c r="X42" s="14">
        <f>I42*0.002185679049</f>
        <v>1040.2972620353203</v>
      </c>
      <c r="Y42" s="15">
        <f>I42*0.021010369789</f>
        <v>10000.109657383786</v>
      </c>
      <c r="Z42" s="14">
        <f>I42*0.043451006968</f>
        <v>20680.970338334435</v>
      </c>
      <c r="AA42" s="15">
        <f>I42*0.021621727981</f>
        <v>10291.092111349955</v>
      </c>
      <c r="AB42" s="14">
        <f>I42*0.00209418083</f>
        <v>996.74770852225618</v>
      </c>
      <c r="AC42" s="15">
        <f>I42*0.038454418782</f>
        <v>18302.790883399361</v>
      </c>
      <c r="AD42" s="14">
        <f>I42*0.067801027597</f>
        <v>32270.62244322235</v>
      </c>
      <c r="AE42" s="15">
        <f>I42*0.012760851978</f>
        <v>6073.6636424387489</v>
      </c>
      <c r="AF42" s="14">
        <f>I42*0.072016026249</f>
        <v>34276.796020795111</v>
      </c>
      <c r="AG42" s="15">
        <f>I42*0.006184398003</f>
        <v>2943.5302098911238</v>
      </c>
      <c r="AH42" s="15">
        <f>I42*0.004366518238</f>
        <v>2078.2909410679399</v>
      </c>
      <c r="AI42" s="64">
        <f>I42*0.019708146889</f>
        <v>9380.3027749188132</v>
      </c>
      <c r="AJ42" s="14">
        <f>I42*0.026908215844</f>
        <v>12807.252410446938</v>
      </c>
      <c r="AK42" s="15">
        <f>I42*0.01836376993</f>
        <v>8740.4322183378081</v>
      </c>
      <c r="AL42" s="14">
        <f>I42*0.036977198467</f>
        <v>17599.692114245423</v>
      </c>
      <c r="AM42" s="15">
        <f>I42*0.022275994495</f>
        <v>10602.497238954118</v>
      </c>
      <c r="AN42" s="14">
        <f>I42*0.000664145731</f>
        <v>316.10724633511654</v>
      </c>
      <c r="AO42" s="15">
        <f>I42*0.024723925078</f>
        <v>11767.615916516839</v>
      </c>
      <c r="AP42" s="14">
        <f>I42*0.026998574469</f>
        <v>12850.259562037554</v>
      </c>
      <c r="AQ42" s="15">
        <f>I42*0.028132809688</f>
        <v>13390.1109154966</v>
      </c>
      <c r="AR42" s="14">
        <f>I42*0.002541311729</f>
        <v>1209.5644302700848</v>
      </c>
      <c r="AS42" s="15">
        <f>I42*0.015416150467</f>
        <v>7337.4812872375305</v>
      </c>
      <c r="AT42" s="14">
        <f>I42*0.001935482073</f>
        <v>921.21334199619059</v>
      </c>
      <c r="AU42" s="15">
        <f>I42*0.067950503019</f>
        <v>32341.766865052865</v>
      </c>
      <c r="AV42" s="14">
        <f>I42*0.021005084476</f>
        <v>9997.5940562732667</v>
      </c>
      <c r="AW42" s="10">
        <f>0.03*E42</f>
        <v>23798.033442084758</v>
      </c>
      <c r="AY42"/>
      <c r="AZ42" s="1"/>
      <c r="BA42" s="1"/>
      <c r="BB42" s="1"/>
      <c r="BC42" s="1"/>
      <c r="BJ42" s="1"/>
    </row>
    <row r="43" spans="1:62" x14ac:dyDescent="0.25">
      <c r="A43" s="3" t="s">
        <v>67</v>
      </c>
      <c r="B43" s="4"/>
      <c r="C43" s="60">
        <f>SUM(C44:C49)</f>
        <v>10578622.401369648</v>
      </c>
      <c r="D43" s="60">
        <f t="shared" ref="D43:AW43" si="185">SUM(D44:D49)</f>
        <v>151689.24000000002</v>
      </c>
      <c r="E43" s="60">
        <f t="shared" si="185"/>
        <v>5289311.200684824</v>
      </c>
      <c r="F43" s="60">
        <f t="shared" si="185"/>
        <v>2267413.7202739296</v>
      </c>
      <c r="G43" s="60">
        <f t="shared" si="185"/>
        <v>3173586.7204108941</v>
      </c>
      <c r="H43" s="60">
        <f t="shared" si="185"/>
        <v>65823.53298936924</v>
      </c>
      <c r="I43" s="60">
        <f t="shared" si="185"/>
        <v>3107763.1874215244</v>
      </c>
      <c r="J43" s="60">
        <f t="shared" si="185"/>
        <v>52208.979503053975</v>
      </c>
      <c r="K43" s="60">
        <f t="shared" si="185"/>
        <v>125979.75750652848</v>
      </c>
      <c r="L43" s="60">
        <f t="shared" si="185"/>
        <v>81682.374199390571</v>
      </c>
      <c r="M43" s="60">
        <f t="shared" si="185"/>
        <v>114302.11850907831</v>
      </c>
      <c r="N43" s="60">
        <f t="shared" si="185"/>
        <v>161736.92525930848</v>
      </c>
      <c r="O43" s="60">
        <f t="shared" si="185"/>
        <v>85134.056365264638</v>
      </c>
      <c r="P43" s="60">
        <f t="shared" si="185"/>
        <v>50078.276162050344</v>
      </c>
      <c r="Q43" s="60">
        <f t="shared" si="185"/>
        <v>26009.023962239571</v>
      </c>
      <c r="R43" s="60">
        <f t="shared" si="185"/>
        <v>108851.5871369161</v>
      </c>
      <c r="S43" s="60">
        <f t="shared" si="185"/>
        <v>38391.065530573833</v>
      </c>
      <c r="T43" s="60">
        <f t="shared" si="185"/>
        <v>61277.545817857899</v>
      </c>
      <c r="U43" s="60">
        <f t="shared" si="185"/>
        <v>45320.325081537783</v>
      </c>
      <c r="V43" s="60">
        <f t="shared" si="185"/>
        <v>119631.29312104963</v>
      </c>
      <c r="W43" s="60">
        <f t="shared" si="185"/>
        <v>155261.57515741501</v>
      </c>
      <c r="X43" s="60">
        <f t="shared" si="185"/>
        <v>6792.5728880006882</v>
      </c>
      <c r="Y43" s="60">
        <f t="shared" si="185"/>
        <v>65295.253784367553</v>
      </c>
      <c r="Z43" s="60">
        <f t="shared" si="185"/>
        <v>135035.43991154659</v>
      </c>
      <c r="AA43" s="60">
        <f t="shared" si="185"/>
        <v>67195.210267793736</v>
      </c>
      <c r="AB43" s="60">
        <f t="shared" si="185"/>
        <v>6508.2180912778549</v>
      </c>
      <c r="AC43" s="60">
        <f t="shared" si="185"/>
        <v>119507.22708439047</v>
      </c>
      <c r="AD43" s="60">
        <f t="shared" si="185"/>
        <v>210709.5376353075</v>
      </c>
      <c r="AE43" s="60">
        <f t="shared" si="185"/>
        <v>39657.706017363555</v>
      </c>
      <c r="AF43" s="60">
        <f t="shared" si="185"/>
        <v>223808.75528102444</v>
      </c>
      <c r="AG43" s="60">
        <f t="shared" si="185"/>
        <v>19219.644450086595</v>
      </c>
      <c r="AH43" s="60">
        <f t="shared" si="185"/>
        <v>13570.1046372611</v>
      </c>
      <c r="AI43" s="60">
        <f t="shared" si="185"/>
        <v>61248.253393930252</v>
      </c>
      <c r="AJ43" s="60">
        <f t="shared" si="185"/>
        <v>83624.362639175815</v>
      </c>
      <c r="AK43" s="60">
        <f t="shared" si="185"/>
        <v>57070.248170732353</v>
      </c>
      <c r="AL43" s="60">
        <f t="shared" si="185"/>
        <v>114916.37616972225</v>
      </c>
      <c r="AM43" s="60">
        <f t="shared" si="185"/>
        <v>69228.51565476555</v>
      </c>
      <c r="AN43" s="60">
        <f t="shared" si="185"/>
        <v>2064.0076538849589</v>
      </c>
      <c r="AO43" s="60">
        <f t="shared" si="185"/>
        <v>76836.104205976269</v>
      </c>
      <c r="AP43" s="60">
        <f t="shared" si="185"/>
        <v>83905.175847616847</v>
      </c>
      <c r="AQ43" s="60">
        <f t="shared" si="185"/>
        <v>87430.110307102033</v>
      </c>
      <c r="AR43" s="60">
        <f t="shared" si="185"/>
        <v>7897.7950391487475</v>
      </c>
      <c r="AS43" s="60">
        <f t="shared" si="185"/>
        <v>47909.74491309376</v>
      </c>
      <c r="AT43" s="60">
        <f t="shared" si="185"/>
        <v>6015.0199363837019</v>
      </c>
      <c r="AU43" s="60">
        <f t="shared" si="185"/>
        <v>211174.0718492234</v>
      </c>
      <c r="AV43" s="60">
        <f t="shared" si="185"/>
        <v>65278.828283192153</v>
      </c>
      <c r="AW43" s="60">
        <f t="shared" si="185"/>
        <v>158679.33602054472</v>
      </c>
      <c r="AX43" s="6"/>
      <c r="AY43"/>
      <c r="AZ43" s="1"/>
      <c r="BA43" s="1"/>
      <c r="BB43" s="1"/>
      <c r="BC43" s="1"/>
      <c r="BJ43" s="1"/>
    </row>
    <row r="44" spans="1:62" x14ac:dyDescent="0.25">
      <c r="A44" s="8"/>
      <c r="B44" s="17" t="s">
        <v>45</v>
      </c>
      <c r="C44" s="21">
        <v>1388346</v>
      </c>
      <c r="D44" s="59">
        <v>53187.55</v>
      </c>
      <c r="E44" s="10">
        <f t="shared" ref="E44:E49" si="186">0.5*C44</f>
        <v>694173</v>
      </c>
      <c r="F44" s="59">
        <f t="shared" ref="F44:F49" si="187">(C44*0.2)+D44</f>
        <v>330856.75</v>
      </c>
      <c r="G44" s="10">
        <f>0.3*C44</f>
        <v>416503.8</v>
      </c>
      <c r="H44" s="11"/>
      <c r="I44" s="12">
        <f>G44-H44</f>
        <v>416503.8</v>
      </c>
      <c r="J44" s="13">
        <f>I44*0.016799535986</f>
        <v>6997.0705764057475</v>
      </c>
      <c r="K44" s="11">
        <f>I44*0.040537116218</f>
        <v>16883.862945838628</v>
      </c>
      <c r="L44" s="14">
        <f>I44*0.026283332826</f>
        <v>10947.107998693738</v>
      </c>
      <c r="M44" s="15">
        <f>I44*0.036779545807</f>
        <v>15318.820590889565</v>
      </c>
      <c r="N44" s="16">
        <f>I44*0.052042873123</f>
        <v>21676.054418647367</v>
      </c>
      <c r="O44" s="15">
        <f>I44*0.0273939973</f>
        <v>11409.70397263974</v>
      </c>
      <c r="P44" s="14">
        <f>I44*0.016113929261</f>
        <v>6711.5127701376914</v>
      </c>
      <c r="Q44" s="15">
        <f>I44*0.008369049504</f>
        <v>3485.7409208041149</v>
      </c>
      <c r="R44" s="14">
        <f>I44*0.035025701951</f>
        <v>14588.337960258914</v>
      </c>
      <c r="S44" s="15">
        <f>I44*0.012353278939</f>
        <v>5145.1876205534682</v>
      </c>
      <c r="T44" s="14">
        <f>I44*0.019717572454</f>
        <v>8212.4438538663253</v>
      </c>
      <c r="U44" s="15">
        <f>I44*0.014582940317</f>
        <v>6073.8500572037046</v>
      </c>
      <c r="V44" s="14">
        <f>I44*0.038494340111</f>
        <v>16033.038934723923</v>
      </c>
      <c r="W44" s="15">
        <f>I44*0.049959268385</f>
        <v>20808.225127572361</v>
      </c>
      <c r="X44" s="14">
        <f>I44*0.002185679049</f>
        <v>910.34362948888622</v>
      </c>
      <c r="Y44" s="15">
        <f>I44*0.021010369789</f>
        <v>8750.8988565236978</v>
      </c>
      <c r="Z44" s="14">
        <f>I44*0.043451006968</f>
        <v>18097.509515998478</v>
      </c>
      <c r="AA44" s="15">
        <f>I44*0.021621727981</f>
        <v>9005.5318666528274</v>
      </c>
      <c r="AB44" s="14">
        <f>I44*0.00209418083</f>
        <v>872.23427358215395</v>
      </c>
      <c r="AC44" s="15">
        <f>I44*0.038454418782</f>
        <v>16016.411549494369</v>
      </c>
      <c r="AD44" s="14">
        <f>I44*0.067801027597</f>
        <v>28239.38563805537</v>
      </c>
      <c r="AE44" s="15">
        <f>I44*0.012760851978</f>
        <v>5314.9433400745165</v>
      </c>
      <c r="AF44" s="14">
        <f>I44*0.072016026249</f>
        <v>29994.948593608246</v>
      </c>
      <c r="AG44" s="15">
        <f>I44*0.006184398003</f>
        <v>2575.8252689619112</v>
      </c>
      <c r="AH44" s="15">
        <f>I44*0.004366518238</f>
        <v>1818.6714388963042</v>
      </c>
      <c r="AI44" s="64">
        <f>I44*0.019708146889</f>
        <v>8208.5180702266789</v>
      </c>
      <c r="AJ44" s="14">
        <f>I44*0.026908215844</f>
        <v>11207.374150246207</v>
      </c>
      <c r="AK44" s="15">
        <f>I44*0.01836376993</f>
        <v>7648.5799581707333</v>
      </c>
      <c r="AL44" s="14">
        <f>I44*0.036977198467</f>
        <v>15401.143674859673</v>
      </c>
      <c r="AM44" s="15">
        <f>I44*0.022275994495</f>
        <v>9278.0363559465804</v>
      </c>
      <c r="AN44" s="14">
        <f>I44*0.000664145731</f>
        <v>276.61922071527778</v>
      </c>
      <c r="AO44" s="15">
        <f>I44*0.024723925078</f>
        <v>10297.608745902297</v>
      </c>
      <c r="AP44" s="14">
        <f>I44*0.026998574469</f>
        <v>11245.008860921482</v>
      </c>
      <c r="AQ44" s="15">
        <f>I44*0.028132809688</f>
        <v>11717.422139728813</v>
      </c>
      <c r="AR44" s="14">
        <f>I44*0.002541311729</f>
        <v>1058.4659921130703</v>
      </c>
      <c r="AS44" s="15">
        <f>I44*0.015416150467</f>
        <v>6420.8852508772743</v>
      </c>
      <c r="AT44" s="14">
        <f>I44*0.001935482073</f>
        <v>806.13563823637742</v>
      </c>
      <c r="AU44" s="15">
        <f>I44*0.067950503019</f>
        <v>28301.642719324973</v>
      </c>
      <c r="AV44" s="14">
        <f>I44*0.021005084476</f>
        <v>8748.6975035750093</v>
      </c>
      <c r="AW44" s="10">
        <f>0.03*E44</f>
        <v>20825.189999999999</v>
      </c>
      <c r="AX44" s="6"/>
      <c r="AY44"/>
      <c r="AZ44" s="1"/>
      <c r="BA44" s="1"/>
      <c r="BB44" s="1"/>
      <c r="BC44" s="1"/>
      <c r="BJ44" s="1"/>
    </row>
    <row r="45" spans="1:62" x14ac:dyDescent="0.25">
      <c r="A45" s="17"/>
      <c r="B45" s="17" t="s">
        <v>104</v>
      </c>
      <c r="C45" s="9">
        <v>904418.13187472557</v>
      </c>
      <c r="D45" s="59"/>
      <c r="E45" s="10">
        <f t="shared" si="186"/>
        <v>452209.06593736279</v>
      </c>
      <c r="F45" s="59">
        <f t="shared" si="187"/>
        <v>180883.62637494513</v>
      </c>
      <c r="G45" s="10">
        <f t="shared" si="46"/>
        <v>271325.43956241768</v>
      </c>
      <c r="H45" s="11">
        <f>0.07*G45</f>
        <v>18992.780769369241</v>
      </c>
      <c r="I45" s="12">
        <f t="shared" si="180"/>
        <v>252332.65879304844</v>
      </c>
      <c r="J45" s="13">
        <f t="shared" ref="J45:J84" si="188">I45*0.016799535986</f>
        <v>4239.0715818368772</v>
      </c>
      <c r="K45" s="11">
        <f t="shared" si="7"/>
        <v>10228.838315090743</v>
      </c>
      <c r="L45" s="14">
        <f t="shared" si="8"/>
        <v>6632.1432539271873</v>
      </c>
      <c r="M45" s="15">
        <f t="shared" si="184"/>
        <v>9280.6805826810269</v>
      </c>
      <c r="N45" s="16">
        <f t="shared" si="10"/>
        <v>13132.11654635587</v>
      </c>
      <c r="O45" s="15">
        <f t="shared" si="11"/>
        <v>6912.4001736785904</v>
      </c>
      <c r="P45" s="14">
        <f t="shared" si="47"/>
        <v>4066.0706140312318</v>
      </c>
      <c r="Q45" s="15">
        <f t="shared" si="12"/>
        <v>2111.7845129149632</v>
      </c>
      <c r="R45" s="14">
        <f t="shared" si="13"/>
        <v>8838.1284993886948</v>
      </c>
      <c r="S45" s="15">
        <f t="shared" si="14"/>
        <v>3117.1357194900384</v>
      </c>
      <c r="T45" s="14">
        <f t="shared" si="15"/>
        <v>4975.387482262393</v>
      </c>
      <c r="U45" s="15">
        <f t="shared" si="16"/>
        <v>3679.7521032089508</v>
      </c>
      <c r="V45" s="14">
        <f t="shared" si="17"/>
        <v>9713.3791886925228</v>
      </c>
      <c r="W45" s="15">
        <f t="shared" si="18"/>
        <v>12606.355022942536</v>
      </c>
      <c r="X45" s="14">
        <f t="shared" si="48"/>
        <v>551.5182057024316</v>
      </c>
      <c r="Y45" s="15">
        <f t="shared" si="20"/>
        <v>5301.6024710835109</v>
      </c>
      <c r="Z45" s="14">
        <f t="shared" si="21"/>
        <v>10964.108115470714</v>
      </c>
      <c r="AA45" s="15">
        <f t="shared" si="22"/>
        <v>5455.8681091457811</v>
      </c>
      <c r="AB45" s="14">
        <f t="shared" si="49"/>
        <v>528.43021682733297</v>
      </c>
      <c r="AC45" s="15">
        <f t="shared" si="24"/>
        <v>9703.305733603398</v>
      </c>
      <c r="AD45" s="14">
        <f t="shared" si="25"/>
        <v>17108.413562451864</v>
      </c>
      <c r="AE45" s="15">
        <f t="shared" si="26"/>
        <v>3219.9797080732715</v>
      </c>
      <c r="AF45" s="14">
        <f t="shared" si="27"/>
        <v>18171.995379120137</v>
      </c>
      <c r="AG45" s="15">
        <f t="shared" si="28"/>
        <v>1560.5255911314091</v>
      </c>
      <c r="AH45" s="15">
        <f t="shared" si="29"/>
        <v>1101.8151566628769</v>
      </c>
      <c r="AI45" s="64">
        <f t="shared" si="30"/>
        <v>4973.0091043853163</v>
      </c>
      <c r="AJ45" s="14">
        <f t="shared" si="31"/>
        <v>6789.821647293752</v>
      </c>
      <c r="AK45" s="15">
        <f t="shared" si="32"/>
        <v>4633.7788919007326</v>
      </c>
      <c r="AL45" s="14">
        <f t="shared" si="33"/>
        <v>9330.5548038963443</v>
      </c>
      <c r="AM45" s="15">
        <f t="shared" si="34"/>
        <v>5620.96091818266</v>
      </c>
      <c r="AN45" s="14">
        <f t="shared" si="35"/>
        <v>167.58565812928273</v>
      </c>
      <c r="AO45" s="15">
        <f t="shared" si="36"/>
        <v>6238.6537507318671</v>
      </c>
      <c r="AP45" s="14">
        <f t="shared" si="37"/>
        <v>6812.6220793848861</v>
      </c>
      <c r="AQ45" s="15">
        <f t="shared" si="38"/>
        <v>7098.8266678918708</v>
      </c>
      <c r="AR45" s="14">
        <f t="shared" si="39"/>
        <v>641.25594540052907</v>
      </c>
      <c r="AS45" s="15">
        <f t="shared" si="40"/>
        <v>3889.9982356918053</v>
      </c>
      <c r="AT45" s="14">
        <f t="shared" si="41"/>
        <v>488.38533752637107</v>
      </c>
      <c r="AU45" s="15">
        <f t="shared" si="50"/>
        <v>17146.131093109336</v>
      </c>
      <c r="AV45" s="14">
        <f t="shared" si="43"/>
        <v>5300.2688140016671</v>
      </c>
      <c r="AW45" s="10">
        <f t="shared" si="51"/>
        <v>13566.271978120883</v>
      </c>
      <c r="AY45"/>
      <c r="AZ45" s="1"/>
      <c r="BA45" s="1"/>
      <c r="BB45" s="1"/>
      <c r="BC45" s="1"/>
      <c r="BJ45" s="1"/>
    </row>
    <row r="46" spans="1:62" x14ac:dyDescent="0.25">
      <c r="A46" s="8"/>
      <c r="B46" s="17" t="s">
        <v>46</v>
      </c>
      <c r="C46" s="9">
        <v>2856323.4658083413</v>
      </c>
      <c r="D46" s="59">
        <v>57040.15</v>
      </c>
      <c r="E46" s="10">
        <f t="shared" si="186"/>
        <v>1428161.7329041706</v>
      </c>
      <c r="F46" s="59">
        <f t="shared" si="187"/>
        <v>628304.84316166828</v>
      </c>
      <c r="G46" s="10">
        <f>0.3*C46</f>
        <v>856897.03974250238</v>
      </c>
      <c r="H46" s="11"/>
      <c r="I46" s="12">
        <f>G46-H46</f>
        <v>856897.03974250238</v>
      </c>
      <c r="J46" s="13">
        <f>I46*0.016799535986</f>
        <v>14395.472655451042</v>
      </c>
      <c r="K46" s="11">
        <f>I46*0.040537116218</f>
        <v>34736.134886901986</v>
      </c>
      <c r="L46" s="14">
        <f>I46*0.026283332826</f>
        <v>22522.110093166339</v>
      </c>
      <c r="M46" s="15">
        <f>I46*0.036779545807</f>
        <v>31516.283925092066</v>
      </c>
      <c r="N46" s="16">
        <f>I46*0.052042873123</f>
        <v>44595.383918793341</v>
      </c>
      <c r="O46" s="15">
        <f>I46*0.0273939973</f>
        <v>23473.835193084102</v>
      </c>
      <c r="P46" s="14">
        <f>I46*0.016113929261</f>
        <v>13807.978282370988</v>
      </c>
      <c r="Q46" s="15">
        <f>I46*0.008369049504</f>
        <v>7171.413745436058</v>
      </c>
      <c r="R46" s="14">
        <f>I46*0.035025701951</f>
        <v>30013.420316715092</v>
      </c>
      <c r="S46" s="15">
        <f>I46*0.012353278939</f>
        <v>10585.488153942501</v>
      </c>
      <c r="T46" s="14">
        <f>I46*0.019717572454</f>
        <v>16895.929466740909</v>
      </c>
      <c r="U46" s="15">
        <f>I46*0.014582940317</f>
        <v>12496.07838837889</v>
      </c>
      <c r="V46" s="14">
        <f>I46*0.038494340111</f>
        <v>32985.686087956972</v>
      </c>
      <c r="W46" s="15">
        <f>I46*0.049959268385</f>
        <v>42809.949186807688</v>
      </c>
      <c r="X46" s="14">
        <f>I46*0.002185679049</f>
        <v>1872.9019069153078</v>
      </c>
      <c r="Y46" s="15">
        <f>I46*0.021010369789</f>
        <v>18003.723676089405</v>
      </c>
      <c r="Z46" s="14">
        <f>I46*0.043451006968</f>
        <v>37233.039244710046</v>
      </c>
      <c r="AA46" s="15">
        <f>I46*0.021621727981</f>
        <v>18527.594701036534</v>
      </c>
      <c r="AB46" s="14">
        <f>I46*0.00209418083</f>
        <v>1794.4973539124965</v>
      </c>
      <c r="AC46" s="15">
        <f>I46*0.038454418782</f>
        <v>32951.477619314282</v>
      </c>
      <c r="AD46" s="14">
        <f>I46*0.067801027597</f>
        <v>58098.499839369011</v>
      </c>
      <c r="AE46" s="15">
        <f>I46*0.012760851978</f>
        <v>10934.736284540457</v>
      </c>
      <c r="AF46" s="14">
        <f>I46*0.072016026249</f>
        <v>61710.319706786446</v>
      </c>
      <c r="AG46" s="15">
        <f>I46*0.006184398003</f>
        <v>5299.3923413601433</v>
      </c>
      <c r="AH46" s="15">
        <f>I46*0.004366518238</f>
        <v>3741.6565521238472</v>
      </c>
      <c r="AI46" s="11">
        <f>I46*0.019708146889</f>
        <v>16887.852727994508</v>
      </c>
      <c r="AJ46" s="14">
        <f>I46*0.026908215844</f>
        <v>23057.570501475901</v>
      </c>
      <c r="AK46" s="15">
        <f>I46*0.01836376993</f>
        <v>15735.860091529379</v>
      </c>
      <c r="AL46" s="14">
        <f>I46*0.036977198467</f>
        <v>31685.651904343296</v>
      </c>
      <c r="AM46" s="15">
        <f>I46*0.022275994495</f>
        <v>19088.23374008578</v>
      </c>
      <c r="AN46" s="14">
        <f>I46*0.000664145731</f>
        <v>569.10451085152033</v>
      </c>
      <c r="AO46" s="15">
        <f>I46*0.024723925078</f>
        <v>21185.858210153616</v>
      </c>
      <c r="AP46" s="14">
        <f>I46*0.026998574469</f>
        <v>23134.998539753604</v>
      </c>
      <c r="AQ46" s="15">
        <f>I46*0.028132809688</f>
        <v>24106.92134128639</v>
      </c>
      <c r="AR46" s="14">
        <f>I46*0.002541311729</f>
        <v>2177.6424976430008</v>
      </c>
      <c r="AS46" s="15">
        <f>I46*0.015416150467</f>
        <v>13210.053699397295</v>
      </c>
      <c r="AT46" s="14">
        <f>I46*0.001935482073</f>
        <v>1658.508858828382</v>
      </c>
      <c r="AU46" s="15">
        <f>I46*0.067950503019</f>
        <v>58226.584885995078</v>
      </c>
      <c r="AV46" s="14">
        <f>I46*0.021005084476</f>
        <v>17999.194707025592</v>
      </c>
      <c r="AW46" s="10">
        <f>0.03*E46</f>
        <v>42844.851987125119</v>
      </c>
      <c r="AY46"/>
      <c r="AZ46" s="1"/>
      <c r="BA46" s="1"/>
      <c r="BB46" s="1"/>
      <c r="BC46" s="1"/>
      <c r="BJ46" s="1"/>
    </row>
    <row r="47" spans="1:62" x14ac:dyDescent="0.25">
      <c r="A47" s="17"/>
      <c r="B47" s="17" t="s">
        <v>109</v>
      </c>
      <c r="C47" s="9">
        <v>2230035.8199999998</v>
      </c>
      <c r="D47" s="59"/>
      <c r="E47" s="10">
        <f t="shared" si="186"/>
        <v>1115017.9099999999</v>
      </c>
      <c r="F47" s="59">
        <f t="shared" si="187"/>
        <v>446007.16399999999</v>
      </c>
      <c r="G47" s="10">
        <f>0.3*C47</f>
        <v>669010.74599999993</v>
      </c>
      <c r="H47" s="11">
        <f>0.07*G47</f>
        <v>46830.752220000002</v>
      </c>
      <c r="I47" s="12">
        <f>G47-H47</f>
        <v>622179.9937799999</v>
      </c>
      <c r="J47" s="13">
        <f>I47*0.016799535986</f>
        <v>10452.335195276366</v>
      </c>
      <c r="K47" s="11">
        <f>I47*0.040537116218</f>
        <v>25221.382716374374</v>
      </c>
      <c r="L47" s="14">
        <f>I47*0.026283332826</f>
        <v>16352.963854198348</v>
      </c>
      <c r="M47" s="15">
        <f>I47*0.036779545807</f>
        <v>22883.497581430482</v>
      </c>
      <c r="N47" s="16">
        <f>I47*0.052042873123</f>
        <v>32380.034475961467</v>
      </c>
      <c r="O47" s="15">
        <f>I47*0.0273939973</f>
        <v>17043.997069723333</v>
      </c>
      <c r="P47" s="14">
        <f>I47*0.016113929261</f>
        <v>10025.764407380337</v>
      </c>
      <c r="Q47" s="15">
        <f>I47*0.008369049504</f>
        <v>5207.0551683432313</v>
      </c>
      <c r="R47" s="14">
        <f>I47*0.035025701951</f>
        <v>21792.291022013309</v>
      </c>
      <c r="S47" s="15">
        <f>I47*0.012353278939</f>
        <v>7685.963013429624</v>
      </c>
      <c r="T47" s="14">
        <f>I47*0.019717572454</f>
        <v>12267.879106786417</v>
      </c>
      <c r="U47" s="15">
        <f>I47*0.014582940317</f>
        <v>9073.2137157251691</v>
      </c>
      <c r="V47" s="14">
        <f>I47*0.038494340111</f>
        <v>23950.408290827181</v>
      </c>
      <c r="W47" s="15">
        <f>I47*0.049959268385</f>
        <v>31083.657293032644</v>
      </c>
      <c r="X47" s="14">
        <f>I47*0.002185679049</f>
        <v>1359.8857771118962</v>
      </c>
      <c r="Y47" s="15">
        <f>I47*0.021010369789</f>
        <v>13072.231744635519</v>
      </c>
      <c r="Z47" s="14">
        <f>I47*0.043451006968</f>
        <v>27034.347245084973</v>
      </c>
      <c r="AA47" s="15">
        <f>I47*0.021621727981</f>
        <v>13452.60658073143</v>
      </c>
      <c r="AB47" s="14">
        <f>I47*0.00209418083</f>
        <v>1302.957415783595</v>
      </c>
      <c r="AC47" s="15">
        <f>I47*0.038454418782</f>
        <v>23925.570038598271</v>
      </c>
      <c r="AD47" s="14">
        <f>I47*0.067801027597</f>
        <v>42184.442928579061</v>
      </c>
      <c r="AE47" s="15">
        <f>I47*0.012760851978</f>
        <v>7939.5468042995399</v>
      </c>
      <c r="AF47" s="14">
        <f>I47*0.072016026249</f>
        <v>44806.930763663127</v>
      </c>
      <c r="AG47" s="15">
        <f>I47*0.006184398003</f>
        <v>3847.8087110395841</v>
      </c>
      <c r="AH47" s="15">
        <f>I47*0.004366518238</f>
        <v>2716.7602901590958</v>
      </c>
      <c r="AI47" s="64">
        <f>I47*0.019708146889</f>
        <v>12262.014708813345</v>
      </c>
      <c r="AJ47" s="14">
        <f>I47*0.026908215844</f>
        <v>16741.753566450814</v>
      </c>
      <c r="AK47" s="15">
        <f>I47*0.01836376993</f>
        <v>11425.570260824748</v>
      </c>
      <c r="AL47" s="14">
        <f>I47*0.036977198467</f>
        <v>23006.473112199881</v>
      </c>
      <c r="AM47" s="15">
        <f>I47*0.022275994495</f>
        <v>13859.678116342411</v>
      </c>
      <c r="AN47" s="14">
        <f>I47*0.000664145731</f>
        <v>413.21818678259348</v>
      </c>
      <c r="AO47" s="15">
        <f>I47*0.024723925078</f>
        <v>15382.731551247223</v>
      </c>
      <c r="AP47" s="14">
        <f>I47*0.026998574469</f>
        <v>16797.972895191284</v>
      </c>
      <c r="AQ47" s="15">
        <f>I47*0.028132809688</f>
        <v>17503.671356693761</v>
      </c>
      <c r="AR47" s="14">
        <f>I47*0.002541311729</f>
        <v>1581.1533157422609</v>
      </c>
      <c r="AS47" s="15">
        <f>I47*0.015416150467</f>
        <v>9591.6204016696029</v>
      </c>
      <c r="AT47" s="14">
        <f>I47*0.001935482073</f>
        <v>1204.2182241404414</v>
      </c>
      <c r="AU47" s="15">
        <f>I47*0.067950503019</f>
        <v>42277.443545709291</v>
      </c>
      <c r="AV47" s="14">
        <f>I47*0.021005084476</f>
        <v>13068.943328626052</v>
      </c>
      <c r="AW47" s="10">
        <f>0.03*E47</f>
        <v>33450.537299999996</v>
      </c>
      <c r="AY47"/>
      <c r="AZ47" s="1"/>
      <c r="BA47" s="1"/>
      <c r="BB47" s="1"/>
      <c r="BC47" s="1"/>
      <c r="BJ47" s="1"/>
    </row>
    <row r="48" spans="1:62" x14ac:dyDescent="0.25">
      <c r="A48" s="17"/>
      <c r="B48" s="17" t="s">
        <v>105</v>
      </c>
      <c r="C48" s="21">
        <v>1612963.420880931</v>
      </c>
      <c r="D48" s="59"/>
      <c r="E48" s="10">
        <f t="shared" si="186"/>
        <v>806481.71044046548</v>
      </c>
      <c r="F48" s="59">
        <f t="shared" si="187"/>
        <v>322592.68417618622</v>
      </c>
      <c r="G48" s="10">
        <f>0.3*C48</f>
        <v>483889.02626427927</v>
      </c>
      <c r="H48" s="11"/>
      <c r="I48" s="12">
        <f>G48-H48</f>
        <v>483889.02626427927</v>
      </c>
      <c r="J48" s="13">
        <f>I48*0.016799535986</f>
        <v>8129.111109957259</v>
      </c>
      <c r="K48" s="11">
        <f>I48*0.040537116218</f>
        <v>19615.465694289942</v>
      </c>
      <c r="L48" s="14">
        <f>I48*0.026283332826</f>
        <v>12718.216328153108</v>
      </c>
      <c r="M48" s="15">
        <f>I48*0.036779545807</f>
        <v>17797.218606991686</v>
      </c>
      <c r="N48" s="16">
        <f>I48*0.052042873123</f>
        <v>25182.975199483903</v>
      </c>
      <c r="O48" s="15">
        <f>I48*0.0273939973</f>
        <v>13255.654678983296</v>
      </c>
      <c r="P48" s="14">
        <f>I48*0.016113929261</f>
        <v>7797.3535393967668</v>
      </c>
      <c r="Q48" s="15">
        <f>I48*0.008369049504</f>
        <v>4049.6912152481091</v>
      </c>
      <c r="R48" s="14">
        <f>I48*0.035025701951</f>
        <v>16948.552811292258</v>
      </c>
      <c r="S48" s="15">
        <f>I48*0.012353278939</f>
        <v>5977.6161169637389</v>
      </c>
      <c r="T48" s="14">
        <f>I48*0.019717572454</f>
        <v>9541.1169350614346</v>
      </c>
      <c r="U48" s="15">
        <f>I48*0.014582940317</f>
        <v>7056.5247900632303</v>
      </c>
      <c r="V48" s="14">
        <f>I48*0.038494340111</f>
        <v>18626.988752997779</v>
      </c>
      <c r="W48" s="15">
        <f>I48*0.049959268385</f>
        <v>24174.741731693441</v>
      </c>
      <c r="X48" s="14">
        <f>I48*0.002185679049</f>
        <v>1057.6261067468461</v>
      </c>
      <c r="Y48" s="15">
        <f>I48*0.021010369789</f>
        <v>10166.687378651641</v>
      </c>
      <c r="Z48" s="14">
        <f>I48*0.043451006968</f>
        <v>21025.465451947934</v>
      </c>
      <c r="AA48" s="15">
        <f>I48*0.021621727981</f>
        <v>10462.516898877211</v>
      </c>
      <c r="AB48" s="14">
        <f>I48*0.00209418083</f>
        <v>1013.3511226500201</v>
      </c>
      <c r="AC48" s="15">
        <f>I48*0.038454418782</f>
        <v>18607.671259980791</v>
      </c>
      <c r="AD48" s="14">
        <f>I48*0.067801027597</f>
        <v>32808.173223629856</v>
      </c>
      <c r="AE48" s="15">
        <f>I48*0.012760851978</f>
        <v>6174.8362379370219</v>
      </c>
      <c r="AF48" s="14">
        <f>I48*0.072016026249</f>
        <v>34847.764817051386</v>
      </c>
      <c r="AG48" s="15">
        <f>I48*0.006184398003</f>
        <v>2992.5623277024233</v>
      </c>
      <c r="AH48" s="15">
        <f>I48*0.004366518238</f>
        <v>2112.9102583510362</v>
      </c>
      <c r="AI48" s="64">
        <f>I48*0.019708146889</f>
        <v>9536.5560075915946</v>
      </c>
      <c r="AJ48" s="14">
        <f>I48*0.026908215844</f>
        <v>13020.590363262212</v>
      </c>
      <c r="AK48" s="15">
        <f>I48*0.01836376993</f>
        <v>8886.0267499689508</v>
      </c>
      <c r="AL48" s="14">
        <f>I48*0.036977198467</f>
        <v>17892.860560177629</v>
      </c>
      <c r="AM48" s="15">
        <f>I48*0.022275994495</f>
        <v>10779.109285253995</v>
      </c>
      <c r="AN48" s="14">
        <f>I48*0.000664145731</f>
        <v>321.37283107116792</v>
      </c>
      <c r="AO48" s="15">
        <f>I48*0.024723925078</f>
        <v>11963.636031424414</v>
      </c>
      <c r="AP48" s="14">
        <f>I48*0.026998574469</f>
        <v>13064.313910328041</v>
      </c>
      <c r="AQ48" s="15">
        <f>I48*0.028132809688</f>
        <v>13613.157886004601</v>
      </c>
      <c r="AR48" s="14">
        <f>I48*0.002541311729</f>
        <v>1229.712857979802</v>
      </c>
      <c r="AS48" s="15">
        <f>I48*0.015416150467</f>
        <v>7459.7060382202435</v>
      </c>
      <c r="AT48" s="14">
        <f>I48*0.001935482073</f>
        <v>936.55853565593873</v>
      </c>
      <c r="AU48" s="15">
        <f>I48*0.067950503019</f>
        <v>32880.50274003188</v>
      </c>
      <c r="AV48" s="14">
        <f>I48*0.021005084476</f>
        <v>10164.129873690568</v>
      </c>
      <c r="AW48" s="10">
        <f>0.03*E48</f>
        <v>24194.451313213962</v>
      </c>
      <c r="AY48"/>
      <c r="AZ48" s="1"/>
      <c r="BA48" s="1"/>
      <c r="BB48" s="1"/>
      <c r="BC48" s="1"/>
      <c r="BJ48" s="1"/>
    </row>
    <row r="49" spans="1:62" x14ac:dyDescent="0.25">
      <c r="A49" s="17"/>
      <c r="B49" s="17" t="s">
        <v>106</v>
      </c>
      <c r="C49" s="21">
        <v>1586535.5628056505</v>
      </c>
      <c r="D49" s="59">
        <v>41461.54</v>
      </c>
      <c r="E49" s="10">
        <f t="shared" si="186"/>
        <v>793267.78140282526</v>
      </c>
      <c r="F49" s="59">
        <f t="shared" si="187"/>
        <v>358768.65256113012</v>
      </c>
      <c r="G49" s="10">
        <f>0.3*C49</f>
        <v>475960.66884169512</v>
      </c>
      <c r="H49" s="11"/>
      <c r="I49" s="12">
        <f>G49-H49</f>
        <v>475960.66884169512</v>
      </c>
      <c r="J49" s="13">
        <f>I49*0.016799535986</f>
        <v>7995.9183841266868</v>
      </c>
      <c r="K49" s="11">
        <f>I49*0.040537116218</f>
        <v>19294.072948032805</v>
      </c>
      <c r="L49" s="14">
        <f>I49*0.026283332826</f>
        <v>12509.832671251841</v>
      </c>
      <c r="M49" s="15">
        <f>I49*0.036779545807</f>
        <v>17505.617221993482</v>
      </c>
      <c r="N49" s="16">
        <f>I49*0.052042873123</f>
        <v>24770.360700066562</v>
      </c>
      <c r="O49" s="15">
        <f>I49*0.0273939973</f>
        <v>13038.46527715559</v>
      </c>
      <c r="P49" s="14">
        <f>I49*0.016113929261</f>
        <v>7669.5965487333215</v>
      </c>
      <c r="Q49" s="15">
        <f>I49*0.008369049504</f>
        <v>3983.3383994930969</v>
      </c>
      <c r="R49" s="14">
        <f>I49*0.035025701951</f>
        <v>16670.856527247826</v>
      </c>
      <c r="S49" s="15">
        <f>I49*0.012353278939</f>
        <v>5879.6749061944656</v>
      </c>
      <c r="T49" s="14">
        <f>I49*0.019717572454</f>
        <v>9384.788973140423</v>
      </c>
      <c r="U49" s="15">
        <f>I49*0.014582940317</f>
        <v>6940.9060269578413</v>
      </c>
      <c r="V49" s="14">
        <f>I49*0.038494340111</f>
        <v>18321.791865851254</v>
      </c>
      <c r="W49" s="15">
        <f>I49*0.049959268385</f>
        <v>23778.646795366352</v>
      </c>
      <c r="X49" s="14">
        <f>I49*0.002185679049</f>
        <v>1040.2972620353203</v>
      </c>
      <c r="Y49" s="15">
        <f>I49*0.021010369789</f>
        <v>10000.109657383786</v>
      </c>
      <c r="Z49" s="14">
        <f>I49*0.043451006968</f>
        <v>20680.970338334435</v>
      </c>
      <c r="AA49" s="15">
        <f>I49*0.021621727981</f>
        <v>10291.092111349955</v>
      </c>
      <c r="AB49" s="14">
        <f>I49*0.00209418083</f>
        <v>996.74770852225618</v>
      </c>
      <c r="AC49" s="15">
        <f>I49*0.038454418782</f>
        <v>18302.790883399361</v>
      </c>
      <c r="AD49" s="14">
        <f>I49*0.067801027597</f>
        <v>32270.62244322235</v>
      </c>
      <c r="AE49" s="15">
        <f>I49*0.012760851978</f>
        <v>6073.6636424387489</v>
      </c>
      <c r="AF49" s="14">
        <f>I49*0.072016026249</f>
        <v>34276.796020795111</v>
      </c>
      <c r="AG49" s="15">
        <f>I49*0.006184398003</f>
        <v>2943.5302098911238</v>
      </c>
      <c r="AH49" s="15">
        <f>I49*0.004366518238</f>
        <v>2078.2909410679399</v>
      </c>
      <c r="AI49" s="11">
        <f>I49*0.019708146889</f>
        <v>9380.3027749188132</v>
      </c>
      <c r="AJ49" s="14">
        <f>I49*0.026908215844</f>
        <v>12807.252410446938</v>
      </c>
      <c r="AK49" s="15">
        <f>I49*0.01836376993</f>
        <v>8740.4322183378081</v>
      </c>
      <c r="AL49" s="14">
        <f>I49*0.036977198467</f>
        <v>17599.692114245423</v>
      </c>
      <c r="AM49" s="15">
        <f>I49*0.022275994495</f>
        <v>10602.497238954118</v>
      </c>
      <c r="AN49" s="14">
        <f>I49*0.000664145731</f>
        <v>316.10724633511654</v>
      </c>
      <c r="AO49" s="15">
        <f>I49*0.024723925078</f>
        <v>11767.615916516839</v>
      </c>
      <c r="AP49" s="14">
        <f>I49*0.026998574469</f>
        <v>12850.259562037554</v>
      </c>
      <c r="AQ49" s="15">
        <f>I49*0.028132809688</f>
        <v>13390.1109154966</v>
      </c>
      <c r="AR49" s="14">
        <f>I49*0.002541311729</f>
        <v>1209.5644302700848</v>
      </c>
      <c r="AS49" s="15">
        <f>I49*0.015416150467</f>
        <v>7337.4812872375305</v>
      </c>
      <c r="AT49" s="14">
        <f>I49*0.001935482073</f>
        <v>921.21334199619059</v>
      </c>
      <c r="AU49" s="15">
        <f>I49*0.067950503019</f>
        <v>32341.766865052865</v>
      </c>
      <c r="AV49" s="14">
        <f>I49*0.021005084476</f>
        <v>9997.5940562732667</v>
      </c>
      <c r="AW49" s="10">
        <f>0.03*E49</f>
        <v>23798.033442084758</v>
      </c>
      <c r="AY49"/>
      <c r="AZ49" s="1"/>
      <c r="BA49" s="1"/>
      <c r="BB49" s="1"/>
      <c r="BC49" s="1"/>
      <c r="BJ49" s="1"/>
    </row>
    <row r="50" spans="1:62" x14ac:dyDescent="0.25">
      <c r="A50" s="3" t="s">
        <v>68</v>
      </c>
      <c r="B50" s="4"/>
      <c r="C50" s="5">
        <f>SUM(C51:C56)</f>
        <v>15232551.463461038</v>
      </c>
      <c r="D50" s="5">
        <f t="shared" ref="D50:AW50" si="189">SUM(D51:D56)</f>
        <v>94649.09</v>
      </c>
      <c r="E50" s="5">
        <f t="shared" si="189"/>
        <v>7616275.7317305189</v>
      </c>
      <c r="F50" s="5">
        <f t="shared" si="189"/>
        <v>3141159.3826922076</v>
      </c>
      <c r="G50" s="5">
        <f t="shared" si="189"/>
        <v>4569765.4390383121</v>
      </c>
      <c r="H50" s="5">
        <f t="shared" si="189"/>
        <v>163556.0533723236</v>
      </c>
      <c r="I50" s="5">
        <f t="shared" si="189"/>
        <v>4406209.3856659876</v>
      </c>
      <c r="J50" s="5">
        <f t="shared" si="189"/>
        <v>74022.273136346732</v>
      </c>
      <c r="K50" s="5">
        <f t="shared" si="189"/>
        <v>178615.02194758455</v>
      </c>
      <c r="L50" s="5">
        <f t="shared" si="189"/>
        <v>115809.86778450417</v>
      </c>
      <c r="M50" s="5">
        <f t="shared" si="189"/>
        <v>162058.37993533554</v>
      </c>
      <c r="N50" s="5">
        <f t="shared" si="189"/>
        <v>229311.79601158679</v>
      </c>
      <c r="O50" s="5">
        <f t="shared" si="189"/>
        <v>120703.68801416873</v>
      </c>
      <c r="P50" s="5">
        <f t="shared" si="189"/>
        <v>71001.346349775995</v>
      </c>
      <c r="Q50" s="5">
        <f t="shared" si="189"/>
        <v>36875.784473628082</v>
      </c>
      <c r="R50" s="5">
        <f t="shared" si="189"/>
        <v>154330.57667603571</v>
      </c>
      <c r="S50" s="5">
        <f t="shared" si="189"/>
        <v>54431.133604771778</v>
      </c>
      <c r="T50" s="5">
        <f t="shared" si="189"/>
        <v>86879.752809363956</v>
      </c>
      <c r="U50" s="5">
        <f t="shared" si="189"/>
        <v>64255.488495372338</v>
      </c>
      <c r="V50" s="5">
        <f t="shared" si="189"/>
        <v>169614.12269210693</v>
      </c>
      <c r="W50" s="5">
        <f t="shared" si="189"/>
        <v>220130.99725899304</v>
      </c>
      <c r="X50" s="5">
        <f t="shared" si="189"/>
        <v>9630.5595397573125</v>
      </c>
      <c r="Y50" s="5">
        <f t="shared" si="189"/>
        <v>92576.088560604927</v>
      </c>
      <c r="Z50" s="5">
        <f t="shared" si="189"/>
        <v>191454.23471903987</v>
      </c>
      <c r="AA50" s="5">
        <f t="shared" si="189"/>
        <v>95269.860764199111</v>
      </c>
      <c r="AB50" s="5">
        <f t="shared" si="189"/>
        <v>9227.3992284277883</v>
      </c>
      <c r="AC50" s="5">
        <f t="shared" si="189"/>
        <v>169438.22095757886</v>
      </c>
      <c r="AD50" s="5">
        <f t="shared" si="189"/>
        <v>298745.52415570006</v>
      </c>
      <c r="AE50" s="5">
        <f t="shared" si="189"/>
        <v>56226.985754557994</v>
      </c>
      <c r="AF50" s="5">
        <f t="shared" si="189"/>
        <v>317317.69077671191</v>
      </c>
      <c r="AG50" s="5">
        <f t="shared" si="189"/>
        <v>27249.752525512595</v>
      </c>
      <c r="AH50" s="5">
        <f t="shared" si="189"/>
        <v>19239.793642957309</v>
      </c>
      <c r="AI50" s="5">
        <f t="shared" si="189"/>
        <v>86838.221796395752</v>
      </c>
      <c r="AJ50" s="5">
        <f t="shared" si="189"/>
        <v>118563.23320335904</v>
      </c>
      <c r="AK50" s="5">
        <f t="shared" si="189"/>
        <v>80914.615421776834</v>
      </c>
      <c r="AL50" s="5">
        <f t="shared" si="189"/>
        <v>162929.27894092939</v>
      </c>
      <c r="AM50" s="5">
        <f t="shared" si="189"/>
        <v>98152.696018912888</v>
      </c>
      <c r="AN50" s="5">
        <f t="shared" si="189"/>
        <v>2926.365153382199</v>
      </c>
      <c r="AO50" s="5">
        <f t="shared" si="189"/>
        <v>108938.79072918628</v>
      </c>
      <c r="AP50" s="5">
        <f t="shared" si="189"/>
        <v>118961.37222490992</v>
      </c>
      <c r="AQ50" s="5">
        <f t="shared" si="189"/>
        <v>123959.05009242063</v>
      </c>
      <c r="AR50" s="5">
        <f t="shared" si="189"/>
        <v>11197.551592222862</v>
      </c>
      <c r="AS50" s="5">
        <f t="shared" si="189"/>
        <v>67926.786878534505</v>
      </c>
      <c r="AT50" s="5">
        <f t="shared" si="189"/>
        <v>8528.1392758408638</v>
      </c>
      <c r="AU50" s="5">
        <f t="shared" si="189"/>
        <v>299404.14416304289</v>
      </c>
      <c r="AV50" s="5">
        <f t="shared" si="189"/>
        <v>92552.800364858151</v>
      </c>
      <c r="AW50" s="5">
        <f t="shared" si="189"/>
        <v>228488.27195191561</v>
      </c>
      <c r="AX50" s="6"/>
      <c r="AY50"/>
      <c r="AZ50" s="1"/>
      <c r="BA50" s="1"/>
      <c r="BB50" s="1"/>
      <c r="BC50" s="1"/>
      <c r="BJ50" s="1"/>
    </row>
    <row r="51" spans="1:62" x14ac:dyDescent="0.25">
      <c r="A51" s="8"/>
      <c r="B51" s="17" t="s">
        <v>45</v>
      </c>
      <c r="C51" s="21">
        <v>1388345.5200459457</v>
      </c>
      <c r="D51" s="59">
        <v>53187.55</v>
      </c>
      <c r="E51" s="10">
        <f t="shared" ref="E51:E56" si="190">0.5*C51</f>
        <v>694172.76002297283</v>
      </c>
      <c r="F51" s="59">
        <f>(C51*0.2)+D51</f>
        <v>330856.65400918911</v>
      </c>
      <c r="G51" s="10">
        <f>0.3*C51</f>
        <v>416503.65601378371</v>
      </c>
      <c r="H51" s="11"/>
      <c r="I51" s="12">
        <f>G51-H51</f>
        <v>416503.65601378371</v>
      </c>
      <c r="J51" s="13">
        <f>I51*0.016799535986</f>
        <v>6997.0681575041253</v>
      </c>
      <c r="K51" s="11">
        <f>I51*0.040537116218</f>
        <v>16883.857109052646</v>
      </c>
      <c r="L51" s="14">
        <f>I51*0.026283332826</f>
        <v>10947.104214256095</v>
      </c>
      <c r="M51" s="15">
        <f>I51*0.036779545807</f>
        <v>15318.815295141929</v>
      </c>
      <c r="N51" s="16">
        <f>I51*0.052042873123</f>
        <v>21676.046925190982</v>
      </c>
      <c r="O51" s="15">
        <f>I51*0.0273939973</f>
        <v>11409.700028281719</v>
      </c>
      <c r="P51" s="14">
        <f>I51*0.016113929261</f>
        <v>6711.5104499539875</v>
      </c>
      <c r="Q51" s="15">
        <f>I51*0.008369049504</f>
        <v>3485.739715776343</v>
      </c>
      <c r="R51" s="14">
        <f>I51*0.035025701951</f>
        <v>14588.332917040618</v>
      </c>
      <c r="S51" s="15">
        <f>I51*0.012353278939</f>
        <v>5145.1858418515749</v>
      </c>
      <c r="T51" s="14">
        <f>I51*0.019717572454</f>
        <v>8212.4410148076731</v>
      </c>
      <c r="U51" s="15">
        <f>I51*0.014582940317</f>
        <v>6073.8479574613057</v>
      </c>
      <c r="V51" s="14">
        <f>I51*0.038494340111</f>
        <v>16033.033392069541</v>
      </c>
      <c r="W51" s="15">
        <f>I51*0.049959268385</f>
        <v>20808.21793412634</v>
      </c>
      <c r="X51" s="14">
        <f>I51*0.002185679049</f>
        <v>910.34331478122988</v>
      </c>
      <c r="Y51" s="15">
        <f>I51*0.021010369789</f>
        <v>8750.895831320051</v>
      </c>
      <c r="Z51" s="14">
        <f>I51*0.043451006968</f>
        <v>18097.503259652392</v>
      </c>
      <c r="AA51" s="15">
        <f>I51*0.021621727981</f>
        <v>9005.5287534220261</v>
      </c>
      <c r="AB51" s="14">
        <f>I51*0.00209418083</f>
        <v>872.23397204898004</v>
      </c>
      <c r="AC51" s="15">
        <f>I51*0.038454418782</f>
        <v>16016.40601258811</v>
      </c>
      <c r="AD51" s="14">
        <f>I51*0.067801027597</f>
        <v>28239.375875641945</v>
      </c>
      <c r="AE51" s="15">
        <f>I51*0.012760851978</f>
        <v>5314.9415026877241</v>
      </c>
      <c r="AF51" s="14">
        <f>I51*0.072016026249</f>
        <v>29994.938224293113</v>
      </c>
      <c r="AG51" s="15">
        <f>I51*0.006184398003</f>
        <v>2575.8243784938431</v>
      </c>
      <c r="AH51" s="15">
        <f>I51*0.004366518238</f>
        <v>1818.6708101778647</v>
      </c>
      <c r="AI51" s="64">
        <f>I51*0.019708146889</f>
        <v>8208.5152325251784</v>
      </c>
      <c r="AJ51" s="14">
        <f>I51*0.026908215844</f>
        <v>11207.370275834021</v>
      </c>
      <c r="AK51" s="15">
        <f>I51*0.01836376993</f>
        <v>7648.5773140409847</v>
      </c>
      <c r="AL51" s="14">
        <f>I51*0.036977198467</f>
        <v>15401.138350652776</v>
      </c>
      <c r="AM51" s="15">
        <f>I51*0.022275994495</f>
        <v>9278.0331485104198</v>
      </c>
      <c r="AN51" s="14">
        <f>I51*0.000664145731</f>
        <v>276.61912508744695</v>
      </c>
      <c r="AO51" s="15">
        <f>I51*0.024723925078</f>
        <v>10297.605185997872</v>
      </c>
      <c r="AP51" s="14">
        <f>I51*0.026998574469</f>
        <v>11245.004973498899</v>
      </c>
      <c r="AQ51" s="15">
        <f>I51*0.028132809688</f>
        <v>11717.418088991993</v>
      </c>
      <c r="AR51" s="14">
        <f>I51*0.002541311729</f>
        <v>1058.46562619921</v>
      </c>
      <c r="AS51" s="15">
        <f>I51*0.015416150467</f>
        <v>6420.8830311640986</v>
      </c>
      <c r="AT51" s="14">
        <f>I51*0.001935482073</f>
        <v>806.13535955363704</v>
      </c>
      <c r="AU51" s="15">
        <f>I51*0.067950503019</f>
        <v>28301.632935389149</v>
      </c>
      <c r="AV51" s="14">
        <f>I51*0.021005084476</f>
        <v>8748.6944791323731</v>
      </c>
      <c r="AW51" s="10">
        <f>0.03*E51</f>
        <v>20825.182800689185</v>
      </c>
      <c r="AX51" s="6"/>
      <c r="AY51"/>
      <c r="AZ51" s="1"/>
      <c r="BA51" s="1"/>
      <c r="BB51" s="1"/>
      <c r="BC51" s="1"/>
      <c r="BJ51" s="1"/>
    </row>
    <row r="52" spans="1:62" x14ac:dyDescent="0.25">
      <c r="A52" s="17"/>
      <c r="B52" s="17" t="s">
        <v>39</v>
      </c>
      <c r="C52" s="9">
        <v>904418.13187472557</v>
      </c>
      <c r="D52" s="59"/>
      <c r="E52" s="10">
        <f t="shared" si="190"/>
        <v>452209.06593736279</v>
      </c>
      <c r="F52" s="59">
        <f t="shared" si="45"/>
        <v>180883.62637494513</v>
      </c>
      <c r="G52" s="10">
        <f t="shared" si="46"/>
        <v>271325.43956241768</v>
      </c>
      <c r="H52" s="11">
        <f>0.07*G52</f>
        <v>18992.780769369241</v>
      </c>
      <c r="I52" s="12">
        <f t="shared" si="180"/>
        <v>252332.65879304844</v>
      </c>
      <c r="J52" s="13">
        <f t="shared" si="188"/>
        <v>4239.0715818368772</v>
      </c>
      <c r="K52" s="11">
        <f t="shared" si="7"/>
        <v>10228.838315090743</v>
      </c>
      <c r="L52" s="14">
        <f t="shared" si="8"/>
        <v>6632.1432539271873</v>
      </c>
      <c r="M52" s="15">
        <f t="shared" si="184"/>
        <v>9280.6805826810269</v>
      </c>
      <c r="N52" s="16">
        <f t="shared" si="10"/>
        <v>13132.11654635587</v>
      </c>
      <c r="O52" s="15">
        <f t="shared" si="11"/>
        <v>6912.4001736785904</v>
      </c>
      <c r="P52" s="14">
        <f t="shared" si="47"/>
        <v>4066.0706140312318</v>
      </c>
      <c r="Q52" s="15">
        <f t="shared" si="12"/>
        <v>2111.7845129149632</v>
      </c>
      <c r="R52" s="14">
        <f t="shared" si="13"/>
        <v>8838.1284993886948</v>
      </c>
      <c r="S52" s="15">
        <f t="shared" si="14"/>
        <v>3117.1357194900384</v>
      </c>
      <c r="T52" s="14">
        <f t="shared" si="15"/>
        <v>4975.387482262393</v>
      </c>
      <c r="U52" s="15">
        <f t="shared" si="16"/>
        <v>3679.7521032089508</v>
      </c>
      <c r="V52" s="14">
        <f t="shared" si="17"/>
        <v>9713.3791886925228</v>
      </c>
      <c r="W52" s="15">
        <f t="shared" si="18"/>
        <v>12606.355022942536</v>
      </c>
      <c r="X52" s="14">
        <f t="shared" si="48"/>
        <v>551.5182057024316</v>
      </c>
      <c r="Y52" s="15">
        <f t="shared" si="20"/>
        <v>5301.6024710835109</v>
      </c>
      <c r="Z52" s="14">
        <f t="shared" si="21"/>
        <v>10964.108115470714</v>
      </c>
      <c r="AA52" s="15">
        <f t="shared" si="22"/>
        <v>5455.8681091457811</v>
      </c>
      <c r="AB52" s="14">
        <f t="shared" si="49"/>
        <v>528.43021682733297</v>
      </c>
      <c r="AC52" s="15">
        <f t="shared" si="24"/>
        <v>9703.305733603398</v>
      </c>
      <c r="AD52" s="14">
        <f t="shared" si="25"/>
        <v>17108.413562451864</v>
      </c>
      <c r="AE52" s="15">
        <f t="shared" si="26"/>
        <v>3219.9797080732715</v>
      </c>
      <c r="AF52" s="14">
        <f t="shared" si="27"/>
        <v>18171.995379120137</v>
      </c>
      <c r="AG52" s="15">
        <f t="shared" si="28"/>
        <v>1560.5255911314091</v>
      </c>
      <c r="AH52" s="15">
        <f t="shared" si="29"/>
        <v>1101.8151566628769</v>
      </c>
      <c r="AI52" s="2">
        <f t="shared" si="30"/>
        <v>4973.0091043853163</v>
      </c>
      <c r="AJ52" s="14">
        <f t="shared" si="31"/>
        <v>6789.821647293752</v>
      </c>
      <c r="AK52" s="15">
        <f t="shared" si="32"/>
        <v>4633.7788919007326</v>
      </c>
      <c r="AL52" s="14">
        <f t="shared" si="33"/>
        <v>9330.5548038963443</v>
      </c>
      <c r="AM52" s="15">
        <f t="shared" si="34"/>
        <v>5620.96091818266</v>
      </c>
      <c r="AN52" s="14">
        <f t="shared" si="35"/>
        <v>167.58565812928273</v>
      </c>
      <c r="AO52" s="15">
        <f t="shared" si="36"/>
        <v>6238.6537507318671</v>
      </c>
      <c r="AP52" s="14">
        <f t="shared" si="37"/>
        <v>6812.6220793848861</v>
      </c>
      <c r="AQ52" s="15">
        <f t="shared" si="38"/>
        <v>7098.8266678918708</v>
      </c>
      <c r="AR52" s="14">
        <f t="shared" si="39"/>
        <v>641.25594540052907</v>
      </c>
      <c r="AS52" s="15">
        <f t="shared" si="40"/>
        <v>3889.9982356918053</v>
      </c>
      <c r="AT52" s="14">
        <f t="shared" si="41"/>
        <v>488.38533752637107</v>
      </c>
      <c r="AU52" s="15">
        <f t="shared" si="50"/>
        <v>17146.131093109336</v>
      </c>
      <c r="AV52" s="14">
        <f t="shared" si="43"/>
        <v>5300.2688140016671</v>
      </c>
      <c r="AW52" s="10">
        <f t="shared" si="51"/>
        <v>13566.271978120883</v>
      </c>
      <c r="AY52"/>
      <c r="AZ52" s="1"/>
      <c r="BA52" s="1"/>
      <c r="BB52" s="1"/>
      <c r="BC52" s="1"/>
      <c r="BJ52" s="1"/>
    </row>
    <row r="53" spans="1:62" x14ac:dyDescent="0.25">
      <c r="A53" s="8"/>
      <c r="B53" s="17" t="s">
        <v>46</v>
      </c>
      <c r="C53" s="9">
        <v>2856323.4658083413</v>
      </c>
      <c r="D53" s="59"/>
      <c r="E53" s="10">
        <f t="shared" si="190"/>
        <v>1428161.7329041706</v>
      </c>
      <c r="F53" s="59">
        <f>(C53*0.2)+D53</f>
        <v>571264.69316166826</v>
      </c>
      <c r="G53" s="10">
        <f>0.3*C53</f>
        <v>856897.03974250238</v>
      </c>
      <c r="H53" s="11"/>
      <c r="I53" s="12">
        <f>G53-H53</f>
        <v>856897.03974250238</v>
      </c>
      <c r="J53" s="13">
        <f>I53*0.016799535986</f>
        <v>14395.472655451042</v>
      </c>
      <c r="K53" s="11">
        <f>I53*0.040537116218</f>
        <v>34736.134886901986</v>
      </c>
      <c r="L53" s="14">
        <f>I53*0.026283332826</f>
        <v>22522.110093166339</v>
      </c>
      <c r="M53" s="15">
        <f>I53*0.036779545807</f>
        <v>31516.283925092066</v>
      </c>
      <c r="N53" s="16">
        <f>I53*0.052042873123</f>
        <v>44595.383918793341</v>
      </c>
      <c r="O53" s="15">
        <f>I53*0.0273939973</f>
        <v>23473.835193084102</v>
      </c>
      <c r="P53" s="14">
        <f>I53*0.016113929261</f>
        <v>13807.978282370988</v>
      </c>
      <c r="Q53" s="15">
        <f>I53*0.008369049504</f>
        <v>7171.413745436058</v>
      </c>
      <c r="R53" s="14">
        <f>I53*0.035025701951</f>
        <v>30013.420316715092</v>
      </c>
      <c r="S53" s="15">
        <f>I53*0.012353278939</f>
        <v>10585.488153942501</v>
      </c>
      <c r="T53" s="14">
        <f>I53*0.019717572454</f>
        <v>16895.929466740909</v>
      </c>
      <c r="U53" s="15">
        <f>I53*0.014582940317</f>
        <v>12496.07838837889</v>
      </c>
      <c r="V53" s="14">
        <f>I53*0.038494340111</f>
        <v>32985.686087956972</v>
      </c>
      <c r="W53" s="15">
        <f>I53*0.049959268385</f>
        <v>42809.949186807688</v>
      </c>
      <c r="X53" s="14">
        <f>I53*0.002185679049</f>
        <v>1872.9019069153078</v>
      </c>
      <c r="Y53" s="15">
        <f>I53*0.021010369789</f>
        <v>18003.723676089405</v>
      </c>
      <c r="Z53" s="14">
        <f>I53*0.043451006968</f>
        <v>37233.039244710046</v>
      </c>
      <c r="AA53" s="15">
        <f>I53*0.021621727981</f>
        <v>18527.594701036534</v>
      </c>
      <c r="AB53" s="14">
        <f>I53*0.00209418083</f>
        <v>1794.4973539124965</v>
      </c>
      <c r="AC53" s="15">
        <f>I53*0.038454418782</f>
        <v>32951.477619314282</v>
      </c>
      <c r="AD53" s="14">
        <f>I53*0.067801027597</f>
        <v>58098.499839369011</v>
      </c>
      <c r="AE53" s="15">
        <f>I53*0.012760851978</f>
        <v>10934.736284540457</v>
      </c>
      <c r="AF53" s="14">
        <f>I53*0.072016026249</f>
        <v>61710.319706786446</v>
      </c>
      <c r="AG53" s="15">
        <f>I53*0.006184398003</f>
        <v>5299.3923413601433</v>
      </c>
      <c r="AH53" s="15">
        <f>I53*0.004366518238</f>
        <v>3741.6565521238472</v>
      </c>
      <c r="AI53" s="11">
        <f>I53*0.019708146889</f>
        <v>16887.852727994508</v>
      </c>
      <c r="AJ53" s="14">
        <f>I53*0.026908215844</f>
        <v>23057.570501475901</v>
      </c>
      <c r="AK53" s="15">
        <f>I53*0.01836376993</f>
        <v>15735.860091529379</v>
      </c>
      <c r="AL53" s="14">
        <f>I53*0.036977198467</f>
        <v>31685.651904343296</v>
      </c>
      <c r="AM53" s="15">
        <f>I53*0.022275994495</f>
        <v>19088.23374008578</v>
      </c>
      <c r="AN53" s="14">
        <f>I53*0.000664145731</f>
        <v>569.10451085152033</v>
      </c>
      <c r="AO53" s="15">
        <f>I53*0.024723925078</f>
        <v>21185.858210153616</v>
      </c>
      <c r="AP53" s="14">
        <f>I53*0.026998574469</f>
        <v>23134.998539753604</v>
      </c>
      <c r="AQ53" s="15">
        <f>I53*0.028132809688</f>
        <v>24106.92134128639</v>
      </c>
      <c r="AR53" s="14">
        <f>I53*0.002541311729</f>
        <v>2177.6424976430008</v>
      </c>
      <c r="AS53" s="15">
        <f>I53*0.015416150467</f>
        <v>13210.053699397295</v>
      </c>
      <c r="AT53" s="14">
        <f>I53*0.001935482073</f>
        <v>1658.508858828382</v>
      </c>
      <c r="AU53" s="15">
        <f>I53*0.067950503019</f>
        <v>58226.584885995078</v>
      </c>
      <c r="AV53" s="14">
        <f>I53*0.021005084476</f>
        <v>17999.194707025592</v>
      </c>
      <c r="AW53" s="10">
        <f>0.03*E53</f>
        <v>42844.851987125119</v>
      </c>
      <c r="AY53"/>
      <c r="AZ53" s="1"/>
      <c r="BA53" s="1"/>
      <c r="BB53" s="1"/>
      <c r="BC53" s="1"/>
      <c r="BJ53" s="1"/>
    </row>
    <row r="54" spans="1:62" x14ac:dyDescent="0.25">
      <c r="A54" s="17"/>
      <c r="B54" s="17" t="s">
        <v>101</v>
      </c>
      <c r="C54" s="9">
        <v>6883965.3620454455</v>
      </c>
      <c r="D54" s="59"/>
      <c r="E54" s="10">
        <f t="shared" si="190"/>
        <v>3441982.6810227227</v>
      </c>
      <c r="F54" s="59">
        <f>(C54*0.2)+D54</f>
        <v>1376793.0724090892</v>
      </c>
      <c r="G54" s="10">
        <f>0.3*C54</f>
        <v>2065189.6086136336</v>
      </c>
      <c r="H54" s="11">
        <f>0.07*G54</f>
        <v>144563.27260295436</v>
      </c>
      <c r="I54" s="12">
        <f>G54-H54</f>
        <v>1920626.3360106791</v>
      </c>
      <c r="J54" s="13">
        <f>I54*0.016799535986</f>
        <v>32265.631247470734</v>
      </c>
      <c r="K54" s="11">
        <f>I54*0.040537116218</f>
        <v>77856.65299421642</v>
      </c>
      <c r="L54" s="14">
        <f>I54*0.026283332826</f>
        <v>50480.461223749589</v>
      </c>
      <c r="M54" s="15">
        <f>I54*0.036779545807</f>
        <v>70639.764303435339</v>
      </c>
      <c r="N54" s="16">
        <f>I54*0.052042873123</f>
        <v>99954.91272169615</v>
      </c>
      <c r="O54" s="15">
        <f>I54*0.0273939973</f>
        <v>52613.632662985437</v>
      </c>
      <c r="P54" s="14">
        <f>I54*0.016113929261</f>
        <v>30948.836915289699</v>
      </c>
      <c r="Q54" s="15">
        <f>I54*0.008369049504</f>
        <v>16073.816884759512</v>
      </c>
      <c r="R54" s="14">
        <f>I54*0.035025701951</f>
        <v>67271.285604351229</v>
      </c>
      <c r="S54" s="15">
        <f>I54*0.012353278939</f>
        <v>23726.03286632946</v>
      </c>
      <c r="T54" s="14">
        <f>I54*0.019717572454</f>
        <v>37870.088937351116</v>
      </c>
      <c r="U54" s="15">
        <f>I54*0.014582940317</f>
        <v>28008.379229302122</v>
      </c>
      <c r="V54" s="14">
        <f>I54*0.038494340111</f>
        <v>73933.243404538851</v>
      </c>
      <c r="W54" s="15">
        <f>I54*0.049959268385</f>
        <v>95953.0865880567</v>
      </c>
      <c r="X54" s="14">
        <f>I54*0.002185679049</f>
        <v>4197.8727435761757</v>
      </c>
      <c r="Y54" s="15">
        <f>I54*0.021010369789</f>
        <v>40353.069546076542</v>
      </c>
      <c r="Z54" s="14">
        <f>I54*0.043451006968</f>
        <v>83453.148308924327</v>
      </c>
      <c r="AA54" s="15">
        <f>I54*0.021621727981</f>
        <v>41527.260190367611</v>
      </c>
      <c r="AB54" s="14">
        <f>I54*0.00209418083</f>
        <v>4022.1388544667029</v>
      </c>
      <c r="AC54" s="15">
        <f>I54*0.038454418782</f>
        <v>73856.569448692899</v>
      </c>
      <c r="AD54" s="14">
        <f>I54*0.067801027597</f>
        <v>130220.43921138506</v>
      </c>
      <c r="AE54" s="15">
        <f>I54*0.012760851978</f>
        <v>24508.828378880768</v>
      </c>
      <c r="AF54" s="14">
        <f>I54*0.072016026249</f>
        <v>138315.87662866575</v>
      </c>
      <c r="AG54" s="15">
        <f>I54*0.006184398003</f>
        <v>11877.917676933652</v>
      </c>
      <c r="AH54" s="15">
        <f>I54*0.004366518238</f>
        <v>8386.4499245737461</v>
      </c>
      <c r="AI54" s="64">
        <f>I54*0.019708146889</f>
        <v>37851.985948980335</v>
      </c>
      <c r="AJ54" s="14">
        <f>I54*0.026908215844</f>
        <v>51680.628005046223</v>
      </c>
      <c r="AK54" s="15">
        <f>I54*0.01836376993</f>
        <v>35269.940155998986</v>
      </c>
      <c r="AL54" s="14">
        <f>I54*0.036977198467</f>
        <v>71019.3812076139</v>
      </c>
      <c r="AM54" s="15">
        <f>I54*0.022275994495</f>
        <v>42783.861687925906</v>
      </c>
      <c r="AN54" s="14">
        <f>I54*0.000664145731</f>
        <v>1275.5757819076641</v>
      </c>
      <c r="AO54" s="15">
        <f>I54*0.024723925078</f>
        <v>47485.421634361686</v>
      </c>
      <c r="AP54" s="14">
        <f>I54*0.026998574469</f>
        <v>51854.173159906939</v>
      </c>
      <c r="AQ54" s="15">
        <f>I54*0.028132809688</f>
        <v>54032.615192749174</v>
      </c>
      <c r="AR54" s="14">
        <f>I54*0.002541311729</f>
        <v>4880.9102347302342</v>
      </c>
      <c r="AS54" s="15">
        <f>I54*0.015416150467</f>
        <v>29608.664586823528</v>
      </c>
      <c r="AT54" s="14">
        <f>I54*0.001935482073</f>
        <v>3717.3378422803439</v>
      </c>
      <c r="AU54" s="15">
        <f>I54*0.067950503019</f>
        <v>130507.52564346457</v>
      </c>
      <c r="AV54" s="14">
        <f>I54*0.021005084476</f>
        <v>40342.918434734675</v>
      </c>
      <c r="AW54" s="10">
        <f>0.03*E54</f>
        <v>103259.48043068168</v>
      </c>
      <c r="AY54"/>
      <c r="AZ54" s="1"/>
      <c r="BA54" s="1"/>
      <c r="BB54" s="1"/>
      <c r="BC54" s="1"/>
      <c r="BJ54" s="1"/>
    </row>
    <row r="55" spans="1:62" x14ac:dyDescent="0.25">
      <c r="A55" s="17"/>
      <c r="B55" s="17" t="s">
        <v>105</v>
      </c>
      <c r="C55" s="21">
        <v>1612963.420880931</v>
      </c>
      <c r="D55" s="59"/>
      <c r="E55" s="10">
        <f t="shared" si="190"/>
        <v>806481.71044046548</v>
      </c>
      <c r="F55" s="59">
        <f>(C55*0.2)+D55</f>
        <v>322592.68417618622</v>
      </c>
      <c r="G55" s="10">
        <f>0.3*C55</f>
        <v>483889.02626427927</v>
      </c>
      <c r="H55" s="11"/>
      <c r="I55" s="12">
        <f>G55-H55</f>
        <v>483889.02626427927</v>
      </c>
      <c r="J55" s="13">
        <f>I55*0.016799535986</f>
        <v>8129.111109957259</v>
      </c>
      <c r="K55" s="11">
        <f>I55*0.040537116218</f>
        <v>19615.465694289942</v>
      </c>
      <c r="L55" s="14">
        <f>I55*0.026283332826</f>
        <v>12718.216328153108</v>
      </c>
      <c r="M55" s="15">
        <f>I55*0.036779545807</f>
        <v>17797.218606991686</v>
      </c>
      <c r="N55" s="16">
        <f>I55*0.052042873123</f>
        <v>25182.975199483903</v>
      </c>
      <c r="O55" s="15">
        <f>I55*0.0273939973</f>
        <v>13255.654678983296</v>
      </c>
      <c r="P55" s="14">
        <f>I55*0.016113929261</f>
        <v>7797.3535393967668</v>
      </c>
      <c r="Q55" s="15">
        <f>I55*0.008369049504</f>
        <v>4049.6912152481091</v>
      </c>
      <c r="R55" s="14">
        <f>I55*0.035025701951</f>
        <v>16948.552811292258</v>
      </c>
      <c r="S55" s="15">
        <f>I55*0.012353278939</f>
        <v>5977.6161169637389</v>
      </c>
      <c r="T55" s="14">
        <f>I55*0.019717572454</f>
        <v>9541.1169350614346</v>
      </c>
      <c r="U55" s="15">
        <f>I55*0.014582940317</f>
        <v>7056.5247900632303</v>
      </c>
      <c r="V55" s="14">
        <f>I55*0.038494340111</f>
        <v>18626.988752997779</v>
      </c>
      <c r="W55" s="15">
        <f>I55*0.049959268385</f>
        <v>24174.741731693441</v>
      </c>
      <c r="X55" s="14">
        <f>I55*0.002185679049</f>
        <v>1057.6261067468461</v>
      </c>
      <c r="Y55" s="15">
        <f>I55*0.021010369789</f>
        <v>10166.687378651641</v>
      </c>
      <c r="Z55" s="14">
        <f>I55*0.043451006968</f>
        <v>21025.465451947934</v>
      </c>
      <c r="AA55" s="15">
        <f>I55*0.021621727981</f>
        <v>10462.516898877211</v>
      </c>
      <c r="AB55" s="14">
        <f>I55*0.00209418083</f>
        <v>1013.3511226500201</v>
      </c>
      <c r="AC55" s="15">
        <f>I55*0.038454418782</f>
        <v>18607.671259980791</v>
      </c>
      <c r="AD55" s="14">
        <f>I55*0.067801027597</f>
        <v>32808.173223629856</v>
      </c>
      <c r="AE55" s="15">
        <f>I55*0.012760851978</f>
        <v>6174.8362379370219</v>
      </c>
      <c r="AF55" s="14">
        <f>I55*0.072016026249</f>
        <v>34847.764817051386</v>
      </c>
      <c r="AG55" s="15">
        <f>I55*0.006184398003</f>
        <v>2992.5623277024233</v>
      </c>
      <c r="AH55" s="15">
        <f>I55*0.004366518238</f>
        <v>2112.9102583510362</v>
      </c>
      <c r="AI55" s="64">
        <f>I55*0.019708146889</f>
        <v>9536.5560075915946</v>
      </c>
      <c r="AJ55" s="14">
        <f>I55*0.026908215844</f>
        <v>13020.590363262212</v>
      </c>
      <c r="AK55" s="15">
        <f>I55*0.01836376993</f>
        <v>8886.0267499689508</v>
      </c>
      <c r="AL55" s="14">
        <f>I55*0.036977198467</f>
        <v>17892.860560177629</v>
      </c>
      <c r="AM55" s="15">
        <f>I55*0.022275994495</f>
        <v>10779.109285253995</v>
      </c>
      <c r="AN55" s="14">
        <f>I55*0.000664145731</f>
        <v>321.37283107116792</v>
      </c>
      <c r="AO55" s="15">
        <f>I55*0.024723925078</f>
        <v>11963.636031424414</v>
      </c>
      <c r="AP55" s="14">
        <f>I55*0.026998574469</f>
        <v>13064.313910328041</v>
      </c>
      <c r="AQ55" s="15">
        <f>I55*0.028132809688</f>
        <v>13613.157886004601</v>
      </c>
      <c r="AR55" s="14">
        <f>I55*0.002541311729</f>
        <v>1229.712857979802</v>
      </c>
      <c r="AS55" s="15">
        <f>I55*0.015416150467</f>
        <v>7459.7060382202435</v>
      </c>
      <c r="AT55" s="14">
        <f>I55*0.001935482073</f>
        <v>936.55853565593873</v>
      </c>
      <c r="AU55" s="15">
        <f>I55*0.067950503019</f>
        <v>32880.50274003188</v>
      </c>
      <c r="AV55" s="14">
        <f>I55*0.021005084476</f>
        <v>10164.129873690568</v>
      </c>
      <c r="AW55" s="10">
        <f>0.03*E55</f>
        <v>24194.451313213962</v>
      </c>
      <c r="AY55"/>
      <c r="AZ55" s="1"/>
      <c r="BA55" s="1"/>
      <c r="BB55" s="1"/>
      <c r="BC55" s="1"/>
      <c r="BJ55" s="1"/>
    </row>
    <row r="56" spans="1:62" x14ac:dyDescent="0.25">
      <c r="A56" s="17"/>
      <c r="B56" s="17" t="s">
        <v>44</v>
      </c>
      <c r="C56" s="21">
        <v>1586535.5628056505</v>
      </c>
      <c r="D56" s="59">
        <v>41461.54</v>
      </c>
      <c r="E56" s="10">
        <f t="shared" si="190"/>
        <v>793267.78140282526</v>
      </c>
      <c r="F56" s="59">
        <f>(C56*0.2)+D56</f>
        <v>358768.65256113012</v>
      </c>
      <c r="G56" s="10">
        <f>0.3*C56</f>
        <v>475960.66884169512</v>
      </c>
      <c r="H56" s="11"/>
      <c r="I56" s="12">
        <f>G56-H56</f>
        <v>475960.66884169512</v>
      </c>
      <c r="J56" s="13">
        <f>I56*0.016799535986</f>
        <v>7995.9183841266868</v>
      </c>
      <c r="K56" s="11">
        <f>I56*0.040537116218</f>
        <v>19294.072948032805</v>
      </c>
      <c r="L56" s="14">
        <f>I56*0.026283332826</f>
        <v>12509.832671251841</v>
      </c>
      <c r="M56" s="15">
        <f>I56*0.036779545807</f>
        <v>17505.617221993482</v>
      </c>
      <c r="N56" s="16">
        <f>I56*0.052042873123</f>
        <v>24770.360700066562</v>
      </c>
      <c r="O56" s="15">
        <f>I56*0.0273939973</f>
        <v>13038.46527715559</v>
      </c>
      <c r="P56" s="14">
        <f>I56*0.016113929261</f>
        <v>7669.5965487333215</v>
      </c>
      <c r="Q56" s="15">
        <f>I56*0.008369049504</f>
        <v>3983.3383994930969</v>
      </c>
      <c r="R56" s="14">
        <f>I56*0.035025701951</f>
        <v>16670.856527247826</v>
      </c>
      <c r="S56" s="15">
        <f>I56*0.012353278939</f>
        <v>5879.6749061944656</v>
      </c>
      <c r="T56" s="14">
        <f>I56*0.019717572454</f>
        <v>9384.788973140423</v>
      </c>
      <c r="U56" s="15">
        <f>I56*0.014582940317</f>
        <v>6940.9060269578413</v>
      </c>
      <c r="V56" s="14">
        <f>I56*0.038494340111</f>
        <v>18321.791865851254</v>
      </c>
      <c r="W56" s="15">
        <f>I56*0.049959268385</f>
        <v>23778.646795366352</v>
      </c>
      <c r="X56" s="14">
        <f>I56*0.002185679049</f>
        <v>1040.2972620353203</v>
      </c>
      <c r="Y56" s="15">
        <f>I56*0.021010369789</f>
        <v>10000.109657383786</v>
      </c>
      <c r="Z56" s="14">
        <f>I56*0.043451006968</f>
        <v>20680.970338334435</v>
      </c>
      <c r="AA56" s="15">
        <f>I56*0.021621727981</f>
        <v>10291.092111349955</v>
      </c>
      <c r="AB56" s="14">
        <f>I56*0.00209418083</f>
        <v>996.74770852225618</v>
      </c>
      <c r="AC56" s="15">
        <f>I56*0.038454418782</f>
        <v>18302.790883399361</v>
      </c>
      <c r="AD56" s="14">
        <f>I56*0.067801027597</f>
        <v>32270.62244322235</v>
      </c>
      <c r="AE56" s="15">
        <f>I56*0.012760851978</f>
        <v>6073.6636424387489</v>
      </c>
      <c r="AF56" s="14">
        <f>I56*0.072016026249</f>
        <v>34276.796020795111</v>
      </c>
      <c r="AG56" s="15">
        <f>I56*0.006184398003</f>
        <v>2943.5302098911238</v>
      </c>
      <c r="AH56" s="15">
        <f>I56*0.004366518238</f>
        <v>2078.2909410679399</v>
      </c>
      <c r="AI56" s="11">
        <f>I56*0.019708146889</f>
        <v>9380.3027749188132</v>
      </c>
      <c r="AJ56" s="14">
        <f>I56*0.026908215844</f>
        <v>12807.252410446938</v>
      </c>
      <c r="AK56" s="15">
        <f>I56*0.01836376993</f>
        <v>8740.4322183378081</v>
      </c>
      <c r="AL56" s="14">
        <f>I56*0.036977198467</f>
        <v>17599.692114245423</v>
      </c>
      <c r="AM56" s="15">
        <f>I56*0.022275994495</f>
        <v>10602.497238954118</v>
      </c>
      <c r="AN56" s="14">
        <f>I56*0.000664145731</f>
        <v>316.10724633511654</v>
      </c>
      <c r="AO56" s="15">
        <f>I56*0.024723925078</f>
        <v>11767.615916516839</v>
      </c>
      <c r="AP56" s="14">
        <f>I56*0.026998574469</f>
        <v>12850.259562037554</v>
      </c>
      <c r="AQ56" s="15">
        <f>I56*0.028132809688</f>
        <v>13390.1109154966</v>
      </c>
      <c r="AR56" s="14">
        <f>I56*0.002541311729</f>
        <v>1209.5644302700848</v>
      </c>
      <c r="AS56" s="15">
        <f>I56*0.015416150467</f>
        <v>7337.4812872375305</v>
      </c>
      <c r="AT56" s="14">
        <f>I56*0.001935482073</f>
        <v>921.21334199619059</v>
      </c>
      <c r="AU56" s="15">
        <f>I56*0.067950503019</f>
        <v>32341.766865052865</v>
      </c>
      <c r="AV56" s="14">
        <f>I56*0.021005084476</f>
        <v>9997.5940562732667</v>
      </c>
      <c r="AW56" s="10">
        <f>0.03*E56</f>
        <v>23798.033442084758</v>
      </c>
      <c r="AY56"/>
      <c r="AZ56" s="1"/>
      <c r="BA56" s="1"/>
      <c r="BB56" s="1"/>
      <c r="BC56" s="1"/>
      <c r="BJ56" s="1"/>
    </row>
    <row r="57" spans="1:62" x14ac:dyDescent="0.25">
      <c r="A57" s="3" t="s">
        <v>69</v>
      </c>
      <c r="B57" s="4"/>
      <c r="C57" s="5">
        <f>SUM(C58:C63)</f>
        <v>15336913.361219833</v>
      </c>
      <c r="D57" s="5"/>
      <c r="E57" s="5">
        <f t="shared" ref="E57:AW57" si="191">SUM(E58:E63)</f>
        <v>7668456.6806099163</v>
      </c>
      <c r="F57" s="5">
        <f t="shared" si="191"/>
        <v>3067382.6722439667</v>
      </c>
      <c r="G57" s="5">
        <f t="shared" si="191"/>
        <v>4601074.0083659505</v>
      </c>
      <c r="H57" s="5">
        <f t="shared" si="191"/>
        <v>168744.40469438824</v>
      </c>
      <c r="I57" s="5">
        <f t="shared" si="191"/>
        <v>4432329.6036715619</v>
      </c>
      <c r="J57" s="5">
        <f t="shared" si="191"/>
        <v>74461.080678693528</v>
      </c>
      <c r="K57" s="5">
        <f t="shared" si="191"/>
        <v>179673.860260516</v>
      </c>
      <c r="L57" s="5">
        <f t="shared" si="191"/>
        <v>116496.39416783235</v>
      </c>
      <c r="M57" s="5">
        <f t="shared" si="191"/>
        <v>163019.06968996036</v>
      </c>
      <c r="N57" s="5">
        <f t="shared" si="191"/>
        <v>230671.167203196</v>
      </c>
      <c r="O57" s="5">
        <f t="shared" si="191"/>
        <v>121419.22519568885</v>
      </c>
      <c r="P57" s="5">
        <f t="shared" si="191"/>
        <v>71422.245694999714</v>
      </c>
      <c r="Q57" s="5">
        <f t="shared" si="191"/>
        <v>37094.385871172002</v>
      </c>
      <c r="R57" s="5">
        <f t="shared" si="191"/>
        <v>155245.45564679409</v>
      </c>
      <c r="S57" s="5">
        <f t="shared" si="191"/>
        <v>54753.803943742132</v>
      </c>
      <c r="T57" s="5">
        <f t="shared" si="191"/>
        <v>87394.780100403135</v>
      </c>
      <c r="U57" s="5">
        <f t="shared" si="191"/>
        <v>64636.398075614663</v>
      </c>
      <c r="V57" s="5">
        <f t="shared" si="191"/>
        <v>170619.60324778696</v>
      </c>
      <c r="W57" s="5">
        <f t="shared" si="191"/>
        <v>221435.94424060825</v>
      </c>
      <c r="X57" s="5">
        <f t="shared" si="191"/>
        <v>9687.649953007407</v>
      </c>
      <c r="Y57" s="5">
        <f t="shared" si="191"/>
        <v>93124.883999871337</v>
      </c>
      <c r="Z57" s="5">
        <f t="shared" si="191"/>
        <v>192589.18449360572</v>
      </c>
      <c r="AA57" s="5">
        <f t="shared" si="191"/>
        <v>95834.625012720062</v>
      </c>
      <c r="AB57" s="5">
        <f t="shared" si="191"/>
        <v>9282.0996882504824</v>
      </c>
      <c r="AC57" s="5">
        <f t="shared" si="191"/>
        <v>170442.6587594423</v>
      </c>
      <c r="AD57" s="5">
        <f t="shared" si="191"/>
        <v>300516.50177753565</v>
      </c>
      <c r="AE57" s="5">
        <f t="shared" si="191"/>
        <v>56560.301990160209</v>
      </c>
      <c r="AF57" s="5">
        <f t="shared" si="191"/>
        <v>319198.76508223097</v>
      </c>
      <c r="AG57" s="5">
        <f t="shared" si="191"/>
        <v>27411.290349584189</v>
      </c>
      <c r="AH57" s="5">
        <f t="shared" si="191"/>
        <v>19353.848051259189</v>
      </c>
      <c r="AI57" s="5">
        <f t="shared" si="191"/>
        <v>87353.002889622308</v>
      </c>
      <c r="AJ57" s="5">
        <f t="shared" si="191"/>
        <v>119266.08166734535</v>
      </c>
      <c r="AK57" s="5">
        <f t="shared" si="191"/>
        <v>81394.281095752653</v>
      </c>
      <c r="AL57" s="5">
        <f t="shared" si="191"/>
        <v>163895.1314261228</v>
      </c>
      <c r="AM57" s="5">
        <f t="shared" si="191"/>
        <v>98734.549851413234</v>
      </c>
      <c r="AN57" s="5">
        <f t="shared" si="191"/>
        <v>2943.7127846633898</v>
      </c>
      <c r="AO57" s="5">
        <f t="shared" si="191"/>
        <v>109584.58504217713</v>
      </c>
      <c r="AP57" s="5">
        <f t="shared" si="191"/>
        <v>119666.58087587991</v>
      </c>
      <c r="AQ57" s="5">
        <f t="shared" si="191"/>
        <v>124693.88521458051</v>
      </c>
      <c r="AR57" s="5">
        <f t="shared" si="191"/>
        <v>11263.931208604463</v>
      </c>
      <c r="AS57" s="5">
        <f t="shared" si="191"/>
        <v>68329.460089539265</v>
      </c>
      <c r="AT57" s="5">
        <f t="shared" si="191"/>
        <v>8578.6944895335037</v>
      </c>
      <c r="AU57" s="5">
        <f t="shared" si="191"/>
        <v>301179.02611548756</v>
      </c>
      <c r="AV57" s="5">
        <f t="shared" si="191"/>
        <v>93101.457750596761</v>
      </c>
      <c r="AW57" s="5">
        <f t="shared" si="191"/>
        <v>230053.70041829755</v>
      </c>
      <c r="AX57" s="6"/>
      <c r="AY57"/>
      <c r="AZ57" s="1"/>
      <c r="BA57" s="1"/>
      <c r="BB57" s="1"/>
      <c r="BC57" s="1"/>
      <c r="BJ57" s="1"/>
    </row>
    <row r="58" spans="1:62" x14ac:dyDescent="0.25">
      <c r="A58" s="8"/>
      <c r="B58" s="17" t="s">
        <v>45</v>
      </c>
      <c r="C58" s="21">
        <v>1388346</v>
      </c>
      <c r="D58" s="59"/>
      <c r="E58" s="10">
        <f t="shared" ref="E58:E63" si="192">0.5*C58</f>
        <v>694173</v>
      </c>
      <c r="F58" s="59">
        <f>(C58*0.2)+D58</f>
        <v>277669.2</v>
      </c>
      <c r="G58" s="10">
        <f>0.3*C58</f>
        <v>416503.8</v>
      </c>
      <c r="H58" s="11"/>
      <c r="I58" s="12">
        <f>G58-H58</f>
        <v>416503.8</v>
      </c>
      <c r="J58" s="13">
        <f>I58*0.016799535986</f>
        <v>6997.0705764057475</v>
      </c>
      <c r="K58" s="11">
        <f>I58*0.040537116218</f>
        <v>16883.862945838628</v>
      </c>
      <c r="L58" s="14">
        <f>I58*0.026283332826</f>
        <v>10947.107998693738</v>
      </c>
      <c r="M58" s="15">
        <f>I58*0.036779545807</f>
        <v>15318.820590889565</v>
      </c>
      <c r="N58" s="16">
        <f>I58*0.052042873123</f>
        <v>21676.054418647367</v>
      </c>
      <c r="O58" s="15">
        <f>I58*0.0273939973</f>
        <v>11409.70397263974</v>
      </c>
      <c r="P58" s="14">
        <f>I58*0.016113929261</f>
        <v>6711.5127701376914</v>
      </c>
      <c r="Q58" s="15">
        <f>I58*0.008369049504</f>
        <v>3485.7409208041149</v>
      </c>
      <c r="R58" s="14">
        <f>I58*0.035025701951</f>
        <v>14588.337960258914</v>
      </c>
      <c r="S58" s="15">
        <f>I58*0.012353278939</f>
        <v>5145.1876205534682</v>
      </c>
      <c r="T58" s="14">
        <f>I58*0.019717572454</f>
        <v>8212.4438538663253</v>
      </c>
      <c r="U58" s="15">
        <f>I58*0.014582940317</f>
        <v>6073.8500572037046</v>
      </c>
      <c r="V58" s="14">
        <f>I58*0.038494340111</f>
        <v>16033.038934723923</v>
      </c>
      <c r="W58" s="15">
        <f>I58*0.049959268385</f>
        <v>20808.225127572361</v>
      </c>
      <c r="X58" s="14">
        <f>I58*0.002185679049</f>
        <v>910.34362948888622</v>
      </c>
      <c r="Y58" s="15">
        <f>I58*0.021010369789</f>
        <v>8750.8988565236978</v>
      </c>
      <c r="Z58" s="14">
        <f>I58*0.043451006968</f>
        <v>18097.509515998478</v>
      </c>
      <c r="AA58" s="15">
        <f>I58*0.021621727981</f>
        <v>9005.5318666528274</v>
      </c>
      <c r="AB58" s="14">
        <f>I58*0.00209418083</f>
        <v>872.23427358215395</v>
      </c>
      <c r="AC58" s="15">
        <f>I58*0.038454418782</f>
        <v>16016.411549494369</v>
      </c>
      <c r="AD58" s="14">
        <f>I58*0.067801027597</f>
        <v>28239.38563805537</v>
      </c>
      <c r="AE58" s="15">
        <f>I58*0.012760851978</f>
        <v>5314.9433400745165</v>
      </c>
      <c r="AF58" s="14">
        <f>I58*0.072016026249</f>
        <v>29994.948593608246</v>
      </c>
      <c r="AG58" s="15">
        <f>I58*0.006184398003</f>
        <v>2575.8252689619112</v>
      </c>
      <c r="AH58" s="15">
        <f>I58*0.004366518238</f>
        <v>1818.6714388963042</v>
      </c>
      <c r="AI58" s="64">
        <f>I58*0.019708146889</f>
        <v>8208.5180702266789</v>
      </c>
      <c r="AJ58" s="14">
        <f>I58*0.026908215844</f>
        <v>11207.374150246207</v>
      </c>
      <c r="AK58" s="15">
        <f>I58*0.01836376993</f>
        <v>7648.5799581707333</v>
      </c>
      <c r="AL58" s="14">
        <f>I58*0.036977198467</f>
        <v>15401.143674859673</v>
      </c>
      <c r="AM58" s="15">
        <f>I58*0.022275994495</f>
        <v>9278.0363559465804</v>
      </c>
      <c r="AN58" s="14">
        <f>I58*0.000664145731</f>
        <v>276.61922071527778</v>
      </c>
      <c r="AO58" s="15">
        <f>I58*0.024723925078</f>
        <v>10297.608745902297</v>
      </c>
      <c r="AP58" s="14">
        <f>I58*0.026998574469</f>
        <v>11245.008860921482</v>
      </c>
      <c r="AQ58" s="15">
        <f>I58*0.028132809688</f>
        <v>11717.422139728813</v>
      </c>
      <c r="AR58" s="14">
        <f>I58*0.002541311729</f>
        <v>1058.4659921130703</v>
      </c>
      <c r="AS58" s="15">
        <f>I58*0.015416150467</f>
        <v>6420.8852508772743</v>
      </c>
      <c r="AT58" s="14">
        <f>I58*0.001935482073</f>
        <v>806.13563823637742</v>
      </c>
      <c r="AU58" s="15">
        <f>I58*0.067950503019</f>
        <v>28301.642719324973</v>
      </c>
      <c r="AV58" s="14">
        <f>I58*0.021005084476</f>
        <v>8748.6975035750093</v>
      </c>
      <c r="AW58" s="10">
        <f>0.03*E58</f>
        <v>20825.189999999999</v>
      </c>
      <c r="AX58" s="6"/>
      <c r="AY58"/>
      <c r="AZ58" s="1"/>
      <c r="BA58" s="1"/>
      <c r="BB58" s="1"/>
      <c r="BC58" s="1"/>
      <c r="BJ58" s="1"/>
    </row>
    <row r="59" spans="1:62" x14ac:dyDescent="0.25">
      <c r="A59" s="17"/>
      <c r="B59" s="17" t="s">
        <v>39</v>
      </c>
      <c r="C59" s="9">
        <v>1151482.4805444705</v>
      </c>
      <c r="D59" s="59"/>
      <c r="E59" s="10">
        <f t="shared" si="192"/>
        <v>575741.24027223524</v>
      </c>
      <c r="F59" s="59">
        <f t="shared" si="45"/>
        <v>230296.49610889412</v>
      </c>
      <c r="G59" s="10">
        <f t="shared" si="46"/>
        <v>345444.74416334112</v>
      </c>
      <c r="H59" s="11">
        <f>0.07*G59</f>
        <v>24181.132091433879</v>
      </c>
      <c r="I59" s="12">
        <f t="shared" si="180"/>
        <v>321263.61207190726</v>
      </c>
      <c r="J59" s="13">
        <f t="shared" si="188"/>
        <v>5397.0796119943507</v>
      </c>
      <c r="K59" s="11">
        <f t="shared" si="7"/>
        <v>13023.100379173371</v>
      </c>
      <c r="L59" s="14">
        <f t="shared" si="8"/>
        <v>8443.8784409688906</v>
      </c>
      <c r="M59" s="15">
        <f t="shared" si="184"/>
        <v>11815.929736320992</v>
      </c>
      <c r="N59" s="16">
        <f t="shared" si="10"/>
        <v>16719.481402094963</v>
      </c>
      <c r="O59" s="15">
        <f t="shared" si="11"/>
        <v>8800.6945216860749</v>
      </c>
      <c r="P59" s="14">
        <f t="shared" si="47"/>
        <v>5176.8191190600592</v>
      </c>
      <c r="Q59" s="15">
        <f t="shared" si="12"/>
        <v>2688.6710732636438</v>
      </c>
      <c r="R59" s="14">
        <f t="shared" si="13"/>
        <v>11252.483524132309</v>
      </c>
      <c r="S59" s="15">
        <f t="shared" si="14"/>
        <v>3968.6590128749581</v>
      </c>
      <c r="T59" s="14">
        <f t="shared" si="15"/>
        <v>6334.5385478615808</v>
      </c>
      <c r="U59" s="15">
        <f t="shared" si="16"/>
        <v>4684.9680808684643</v>
      </c>
      <c r="V59" s="14">
        <f t="shared" si="17"/>
        <v>12366.830748384364</v>
      </c>
      <c r="W59" s="15">
        <f t="shared" si="18"/>
        <v>16050.095017834941</v>
      </c>
      <c r="X59" s="14">
        <f t="shared" si="48"/>
        <v>702.17914611163121</v>
      </c>
      <c r="Y59" s="15">
        <f t="shared" si="20"/>
        <v>6749.867289380617</v>
      </c>
      <c r="Z59" s="14">
        <f t="shared" si="21"/>
        <v>13959.227446701292</v>
      </c>
      <c r="AA59" s="15">
        <f t="shared" si="22"/>
        <v>6946.2744304122871</v>
      </c>
      <c r="AB59" s="14">
        <f t="shared" si="49"/>
        <v>672.78409777754473</v>
      </c>
      <c r="AC59" s="15">
        <f t="shared" si="24"/>
        <v>12354.005478031111</v>
      </c>
      <c r="AD59" s="14">
        <f t="shared" si="25"/>
        <v>21782.00302799929</v>
      </c>
      <c r="AE59" s="15">
        <f t="shared" si="26"/>
        <v>4099.597399567223</v>
      </c>
      <c r="AF59" s="14">
        <f t="shared" si="27"/>
        <v>23136.128719819026</v>
      </c>
      <c r="AG59" s="15">
        <f t="shared" si="28"/>
        <v>1986.8220409340699</v>
      </c>
      <c r="AH59" s="15">
        <f t="shared" si="29"/>
        <v>1402.80342131774</v>
      </c>
      <c r="AI59" s="64">
        <f t="shared" si="30"/>
        <v>6331.5104568038623</v>
      </c>
      <c r="AJ59" s="14">
        <f t="shared" si="31"/>
        <v>8644.6306164539656</v>
      </c>
      <c r="AK59" s="15">
        <f t="shared" si="32"/>
        <v>5899.6110589692753</v>
      </c>
      <c r="AL59" s="14">
        <f t="shared" si="33"/>
        <v>11879.428343808211</v>
      </c>
      <c r="AM59" s="15">
        <f t="shared" si="34"/>
        <v>7156.4664539576215</v>
      </c>
      <c r="AN59" s="14">
        <f t="shared" si="35"/>
        <v>213.36585648319726</v>
      </c>
      <c r="AO59" s="15">
        <f t="shared" si="36"/>
        <v>7942.8974751534915</v>
      </c>
      <c r="AP59" s="14">
        <f t="shared" si="37"/>
        <v>8673.6595547033157</v>
      </c>
      <c r="AQ59" s="15">
        <f t="shared" si="38"/>
        <v>9038.0480580984258</v>
      </c>
      <c r="AR59" s="14">
        <f t="shared" si="39"/>
        <v>816.43098545924397</v>
      </c>
      <c r="AS59" s="15">
        <f t="shared" si="40"/>
        <v>4952.6481832724394</v>
      </c>
      <c r="AT59" s="14">
        <f t="shared" si="41"/>
        <v>621.79996187240295</v>
      </c>
      <c r="AU59" s="15">
        <f t="shared" si="50"/>
        <v>21830.024041986981</v>
      </c>
      <c r="AV59" s="14">
        <f t="shared" si="43"/>
        <v>6748.1693106353059</v>
      </c>
      <c r="AW59" s="10">
        <f t="shared" si="51"/>
        <v>17272.237208167058</v>
      </c>
      <c r="AY59"/>
      <c r="AZ59" s="1"/>
      <c r="BA59" s="1"/>
      <c r="BB59" s="1"/>
      <c r="BC59" s="1"/>
      <c r="BJ59" s="1"/>
    </row>
    <row r="60" spans="1:62" x14ac:dyDescent="0.25">
      <c r="A60" s="8"/>
      <c r="B60" s="17" t="s">
        <v>46</v>
      </c>
      <c r="C60" s="9">
        <v>2713620.535007678</v>
      </c>
      <c r="D60" s="59"/>
      <c r="E60" s="10">
        <f t="shared" si="192"/>
        <v>1356810.267503839</v>
      </c>
      <c r="F60" s="59">
        <f>(C60*0.2)+D60</f>
        <v>542724.10700153559</v>
      </c>
      <c r="G60" s="10">
        <f>0.3*C60</f>
        <v>814086.16050230339</v>
      </c>
      <c r="H60" s="11"/>
      <c r="I60" s="12">
        <f>G60-H60</f>
        <v>814086.16050230339</v>
      </c>
      <c r="J60" s="13">
        <f>I60*0.016799535986</f>
        <v>13676.269749063018</v>
      </c>
      <c r="K60" s="11">
        <f>I60*0.040537116218</f>
        <v>33000.705299747271</v>
      </c>
      <c r="L60" s="14">
        <f>I60*0.026283332826</f>
        <v>21396.897505522495</v>
      </c>
      <c r="M60" s="15">
        <f>I60*0.036779545807</f>
        <v>29941.71923103922</v>
      </c>
      <c r="N60" s="16">
        <f>I60*0.052042873123</f>
        <v>42367.382762211593</v>
      </c>
      <c r="O60" s="15">
        <f>I60*0.0273939973</f>
        <v>22301.074082767467</v>
      </c>
      <c r="P60" s="14">
        <f>I60*0.016113929261</f>
        <v>13118.126802693208</v>
      </c>
      <c r="Q60" s="15">
        <f>I60*0.008369049504</f>
        <v>6813.1273777650667</v>
      </c>
      <c r="R60" s="14">
        <f>I60*0.035025701951</f>
        <v>28513.939220187629</v>
      </c>
      <c r="S60" s="15">
        <f>I60*0.012353278939</f>
        <v>10056.633421064478</v>
      </c>
      <c r="T60" s="14">
        <f>I60*0.019717572454</f>
        <v>16051.802853502841</v>
      </c>
      <c r="U60" s="15">
        <f>I60*0.014582940317</f>
        <v>11871.769891500773</v>
      </c>
      <c r="V60" s="14">
        <f>I60*0.038494340111</f>
        <v>31337.709542033805</v>
      </c>
      <c r="W60" s="15">
        <f>I60*0.049959268385</f>
        <v>40671.148981048762</v>
      </c>
      <c r="X60" s="14">
        <f>I60*0.002185679049</f>
        <v>1779.3310650907358</v>
      </c>
      <c r="Y60" s="15">
        <f>I60*0.021010369789</f>
        <v>17104.251272260601</v>
      </c>
      <c r="Z60" s="14">
        <f>I60*0.043451006968</f>
        <v>35372.863432537953</v>
      </c>
      <c r="AA60" s="15">
        <f>I60*0.021621727981</f>
        <v>17601.94951547751</v>
      </c>
      <c r="AB60" s="14">
        <f>I60*0.00209418083</f>
        <v>1704.8436312922267</v>
      </c>
      <c r="AC60" s="15">
        <f>I60*0.038454418782</f>
        <v>31305.210140586038</v>
      </c>
      <c r="AD60" s="14">
        <f>I60*0.067801027597</f>
        <v>55195.878234552445</v>
      </c>
      <c r="AE60" s="15">
        <f>I60*0.012760851978</f>
        <v>10388.432991508244</v>
      </c>
      <c r="AF60" s="14">
        <f>I60*0.072016026249</f>
        <v>58627.250303681503</v>
      </c>
      <c r="AG60" s="15">
        <f>I60*0.006184398003</f>
        <v>5034.6328252803823</v>
      </c>
      <c r="AH60" s="15">
        <f>I60*0.004366518238</f>
        <v>3554.7220671367027</v>
      </c>
      <c r="AI60" s="11">
        <f>I60*0.019708146889</f>
        <v>16044.129631481426</v>
      </c>
      <c r="AJ60" s="14">
        <f>I60*0.026908215844</f>
        <v>21905.606122409208</v>
      </c>
      <c r="AK60" s="15">
        <f>I60*0.01836376993</f>
        <v>14949.690954661351</v>
      </c>
      <c r="AL60" s="14">
        <f>I60*0.036977198467</f>
        <v>30102.625526131687</v>
      </c>
      <c r="AM60" s="15">
        <f>I60*0.022275994495</f>
        <v>18134.578829804996</v>
      </c>
      <c r="AN60" s="14">
        <f>I60*0.000664145731</f>
        <v>540.67184816378563</v>
      </c>
      <c r="AO60" s="15">
        <f>I60*0.024723925078</f>
        <v>20127.405239295633</v>
      </c>
      <c r="AP60" s="14">
        <f>I60*0.026998574469</f>
        <v>21979.165828503723</v>
      </c>
      <c r="AQ60" s="15">
        <f>I60*0.028132809688</f>
        <v>22902.531023045922</v>
      </c>
      <c r="AR60" s="14">
        <f>I60*0.002541311729</f>
        <v>2068.8467081010804</v>
      </c>
      <c r="AS60" s="15">
        <f>I60*0.015416150467</f>
        <v>12550.074743405821</v>
      </c>
      <c r="AT60" s="14">
        <f>I60*0.001935482073</f>
        <v>1575.6491695296088</v>
      </c>
      <c r="AU60" s="15">
        <f>I60*0.067950503019</f>
        <v>55317.564106937891</v>
      </c>
      <c r="AV60" s="14">
        <f>I60*0.021005084476</f>
        <v>17099.948572093377</v>
      </c>
      <c r="AW60" s="10">
        <f>0.03*E60</f>
        <v>40704.30802511517</v>
      </c>
      <c r="AY60"/>
      <c r="AZ60" s="1"/>
      <c r="BA60" s="1"/>
      <c r="BB60" s="1"/>
      <c r="BC60" s="1"/>
      <c r="BJ60" s="1"/>
    </row>
    <row r="61" spans="1:62" x14ac:dyDescent="0.25">
      <c r="A61" s="17"/>
      <c r="B61" s="17" t="s">
        <v>101</v>
      </c>
      <c r="C61" s="9">
        <v>6883965.3620454455</v>
      </c>
      <c r="D61" s="59"/>
      <c r="E61" s="10">
        <f t="shared" si="192"/>
        <v>3441982.6810227227</v>
      </c>
      <c r="F61" s="59">
        <f>(C61*0.2)+D61</f>
        <v>1376793.0724090892</v>
      </c>
      <c r="G61" s="10">
        <f>0.3*C61</f>
        <v>2065189.6086136336</v>
      </c>
      <c r="H61" s="11">
        <f>0.07*G61</f>
        <v>144563.27260295436</v>
      </c>
      <c r="I61" s="12">
        <f>G61-H61</f>
        <v>1920626.3360106791</v>
      </c>
      <c r="J61" s="13">
        <f>I61*0.016799535986</f>
        <v>32265.631247470734</v>
      </c>
      <c r="K61" s="11">
        <f>I61*0.040537116218</f>
        <v>77856.65299421642</v>
      </c>
      <c r="L61" s="14">
        <f>I61*0.026283332826</f>
        <v>50480.461223749589</v>
      </c>
      <c r="M61" s="15">
        <f>I61*0.036779545807</f>
        <v>70639.764303435339</v>
      </c>
      <c r="N61" s="16">
        <f>I61*0.052042873123</f>
        <v>99954.91272169615</v>
      </c>
      <c r="O61" s="15">
        <f>I61*0.0273939973</f>
        <v>52613.632662985437</v>
      </c>
      <c r="P61" s="14">
        <f>I61*0.016113929261</f>
        <v>30948.836915289699</v>
      </c>
      <c r="Q61" s="15">
        <f>I61*0.008369049504</f>
        <v>16073.816884759512</v>
      </c>
      <c r="R61" s="14">
        <f>I61*0.035025701951</f>
        <v>67271.285604351229</v>
      </c>
      <c r="S61" s="15">
        <f>I61*0.012353278939</f>
        <v>23726.03286632946</v>
      </c>
      <c r="T61" s="14">
        <f>I61*0.019717572454</f>
        <v>37870.088937351116</v>
      </c>
      <c r="U61" s="15">
        <f>I61*0.014582940317</f>
        <v>28008.379229302122</v>
      </c>
      <c r="V61" s="14">
        <f>I61*0.038494340111</f>
        <v>73933.243404538851</v>
      </c>
      <c r="W61" s="15">
        <f>I61*0.049959268385</f>
        <v>95953.0865880567</v>
      </c>
      <c r="X61" s="14">
        <f>I61*0.002185679049</f>
        <v>4197.8727435761757</v>
      </c>
      <c r="Y61" s="15">
        <f>I61*0.021010369789</f>
        <v>40353.069546076542</v>
      </c>
      <c r="Z61" s="14">
        <f>I61*0.043451006968</f>
        <v>83453.148308924327</v>
      </c>
      <c r="AA61" s="15">
        <f>I61*0.021621727981</f>
        <v>41527.260190367611</v>
      </c>
      <c r="AB61" s="14">
        <f>I61*0.00209418083</f>
        <v>4022.1388544667029</v>
      </c>
      <c r="AC61" s="15">
        <f>I61*0.038454418782</f>
        <v>73856.569448692899</v>
      </c>
      <c r="AD61" s="14">
        <f>I61*0.067801027597</f>
        <v>130220.43921138506</v>
      </c>
      <c r="AE61" s="15">
        <f>I61*0.012760851978</f>
        <v>24508.828378880768</v>
      </c>
      <c r="AF61" s="14">
        <f>I61*0.072016026249</f>
        <v>138315.87662866575</v>
      </c>
      <c r="AG61" s="15">
        <f>I61*0.006184398003</f>
        <v>11877.917676933652</v>
      </c>
      <c r="AH61" s="15">
        <f>I61*0.004366518238</f>
        <v>8386.4499245737461</v>
      </c>
      <c r="AI61" s="64">
        <f>I61*0.019708146889</f>
        <v>37851.985948980335</v>
      </c>
      <c r="AJ61" s="14">
        <f>I61*0.026908215844</f>
        <v>51680.628005046223</v>
      </c>
      <c r="AK61" s="15">
        <f>I61*0.01836376993</f>
        <v>35269.940155998986</v>
      </c>
      <c r="AL61" s="14">
        <f>I61*0.036977198467</f>
        <v>71019.3812076139</v>
      </c>
      <c r="AM61" s="15">
        <f>I61*0.022275994495</f>
        <v>42783.861687925906</v>
      </c>
      <c r="AN61" s="14">
        <f>I61*0.000664145731</f>
        <v>1275.5757819076641</v>
      </c>
      <c r="AO61" s="15">
        <f>I61*0.024723925078</f>
        <v>47485.421634361686</v>
      </c>
      <c r="AP61" s="14">
        <f>I61*0.026998574469</f>
        <v>51854.173159906939</v>
      </c>
      <c r="AQ61" s="15">
        <f>I61*0.028132809688</f>
        <v>54032.615192749174</v>
      </c>
      <c r="AR61" s="14">
        <f>I61*0.002541311729</f>
        <v>4880.9102347302342</v>
      </c>
      <c r="AS61" s="15">
        <f>I61*0.015416150467</f>
        <v>29608.664586823528</v>
      </c>
      <c r="AT61" s="14">
        <f>I61*0.001935482073</f>
        <v>3717.3378422803439</v>
      </c>
      <c r="AU61" s="15">
        <f>I61*0.067950503019</f>
        <v>130507.52564346457</v>
      </c>
      <c r="AV61" s="14">
        <f>I61*0.021005084476</f>
        <v>40342.918434734675</v>
      </c>
      <c r="AW61" s="10">
        <f>0.03*E61</f>
        <v>103259.48043068168</v>
      </c>
      <c r="AY61"/>
      <c r="AZ61" s="1"/>
      <c r="BA61" s="1"/>
      <c r="BB61" s="1"/>
      <c r="BC61" s="1"/>
      <c r="BJ61" s="1"/>
    </row>
    <row r="62" spans="1:62" x14ac:dyDescent="0.25">
      <c r="A62" s="17"/>
      <c r="B62" s="17" t="s">
        <v>105</v>
      </c>
      <c r="C62" s="21">
        <v>1612963.420880931</v>
      </c>
      <c r="D62" s="59"/>
      <c r="E62" s="10">
        <f t="shared" si="192"/>
        <v>806481.71044046548</v>
      </c>
      <c r="F62" s="59">
        <f>(C62*0.2)+D62</f>
        <v>322592.68417618622</v>
      </c>
      <c r="G62" s="10">
        <f>0.3*C62</f>
        <v>483889.02626427927</v>
      </c>
      <c r="H62" s="11"/>
      <c r="I62" s="12">
        <f>G62-H62</f>
        <v>483889.02626427927</v>
      </c>
      <c r="J62" s="13">
        <f>I62*0.016799535986</f>
        <v>8129.111109957259</v>
      </c>
      <c r="K62" s="11">
        <f>I62*0.040537116218</f>
        <v>19615.465694289942</v>
      </c>
      <c r="L62" s="14">
        <f>I62*0.026283332826</f>
        <v>12718.216328153108</v>
      </c>
      <c r="M62" s="15">
        <f>I62*0.036779545807</f>
        <v>17797.218606991686</v>
      </c>
      <c r="N62" s="16">
        <f>I62*0.052042873123</f>
        <v>25182.975199483903</v>
      </c>
      <c r="O62" s="15">
        <f>I62*0.0273939973</f>
        <v>13255.654678983296</v>
      </c>
      <c r="P62" s="14">
        <f>I62*0.016113929261</f>
        <v>7797.3535393967668</v>
      </c>
      <c r="Q62" s="15">
        <f>I62*0.008369049504</f>
        <v>4049.6912152481091</v>
      </c>
      <c r="R62" s="14">
        <f>I62*0.035025701951</f>
        <v>16948.552811292258</v>
      </c>
      <c r="S62" s="15">
        <f>I62*0.012353278939</f>
        <v>5977.6161169637389</v>
      </c>
      <c r="T62" s="14">
        <f>I62*0.019717572454</f>
        <v>9541.1169350614346</v>
      </c>
      <c r="U62" s="15">
        <f>I62*0.014582940317</f>
        <v>7056.5247900632303</v>
      </c>
      <c r="V62" s="14">
        <f>I62*0.038494340111</f>
        <v>18626.988752997779</v>
      </c>
      <c r="W62" s="15">
        <f>I62*0.049959268385</f>
        <v>24174.741731693441</v>
      </c>
      <c r="X62" s="14">
        <f>I62*0.002185679049</f>
        <v>1057.6261067468461</v>
      </c>
      <c r="Y62" s="15">
        <f>I62*0.021010369789</f>
        <v>10166.687378651641</v>
      </c>
      <c r="Z62" s="14">
        <f>I62*0.043451006968</f>
        <v>21025.465451947934</v>
      </c>
      <c r="AA62" s="15">
        <f>I62*0.021621727981</f>
        <v>10462.516898877211</v>
      </c>
      <c r="AB62" s="14">
        <f>I62*0.00209418083</f>
        <v>1013.3511226500201</v>
      </c>
      <c r="AC62" s="15">
        <f>I62*0.038454418782</f>
        <v>18607.671259980791</v>
      </c>
      <c r="AD62" s="14">
        <f>I62*0.067801027597</f>
        <v>32808.173223629856</v>
      </c>
      <c r="AE62" s="15">
        <f>I62*0.012760851978</f>
        <v>6174.8362379370219</v>
      </c>
      <c r="AF62" s="14">
        <f>I62*0.072016026249</f>
        <v>34847.764817051386</v>
      </c>
      <c r="AG62" s="15">
        <f>I62*0.006184398003</f>
        <v>2992.5623277024233</v>
      </c>
      <c r="AH62" s="15">
        <f>I62*0.004366518238</f>
        <v>2112.9102583510362</v>
      </c>
      <c r="AI62" s="64">
        <f>I62*0.019708146889</f>
        <v>9536.5560075915946</v>
      </c>
      <c r="AJ62" s="14">
        <f>I62*0.026908215844</f>
        <v>13020.590363262212</v>
      </c>
      <c r="AK62" s="15">
        <f>I62*0.01836376993</f>
        <v>8886.0267499689508</v>
      </c>
      <c r="AL62" s="14">
        <f>I62*0.036977198467</f>
        <v>17892.860560177629</v>
      </c>
      <c r="AM62" s="15">
        <f>I62*0.022275994495</f>
        <v>10779.109285253995</v>
      </c>
      <c r="AN62" s="14">
        <f>I62*0.000664145731</f>
        <v>321.37283107116792</v>
      </c>
      <c r="AO62" s="15">
        <f>I62*0.024723925078</f>
        <v>11963.636031424414</v>
      </c>
      <c r="AP62" s="14">
        <f>I62*0.026998574469</f>
        <v>13064.313910328041</v>
      </c>
      <c r="AQ62" s="15">
        <f>I62*0.028132809688</f>
        <v>13613.157886004601</v>
      </c>
      <c r="AR62" s="14">
        <f>I62*0.002541311729</f>
        <v>1229.712857979802</v>
      </c>
      <c r="AS62" s="15">
        <f>I62*0.015416150467</f>
        <v>7459.7060382202435</v>
      </c>
      <c r="AT62" s="14">
        <f>I62*0.001935482073</f>
        <v>936.55853565593873</v>
      </c>
      <c r="AU62" s="15">
        <f>I62*0.067950503019</f>
        <v>32880.50274003188</v>
      </c>
      <c r="AV62" s="14">
        <f>I62*0.021005084476</f>
        <v>10164.129873690568</v>
      </c>
      <c r="AW62" s="10">
        <f>0.03*E62</f>
        <v>24194.451313213962</v>
      </c>
      <c r="AY62"/>
      <c r="AZ62" s="1"/>
      <c r="BA62" s="1"/>
      <c r="BB62" s="1"/>
      <c r="BC62" s="1"/>
      <c r="BJ62" s="1"/>
    </row>
    <row r="63" spans="1:62" x14ac:dyDescent="0.25">
      <c r="A63" s="17"/>
      <c r="B63" s="17" t="s">
        <v>44</v>
      </c>
      <c r="C63" s="21">
        <v>1586535.5627413101</v>
      </c>
      <c r="D63" s="59"/>
      <c r="E63" s="10">
        <f t="shared" si="192"/>
        <v>793267.78137065505</v>
      </c>
      <c r="F63" s="59">
        <f>(C63*0.2)+D63</f>
        <v>317307.11254826206</v>
      </c>
      <c r="G63" s="10">
        <f>0.3*C63</f>
        <v>475960.668822393</v>
      </c>
      <c r="H63" s="11"/>
      <c r="I63" s="12">
        <f>G63-H63</f>
        <v>475960.668822393</v>
      </c>
      <c r="J63" s="13">
        <f>I63*0.016799535986</f>
        <v>7995.9183838024201</v>
      </c>
      <c r="K63" s="11">
        <f>I63*0.040537116218</f>
        <v>19294.072947250352</v>
      </c>
      <c r="L63" s="14">
        <f>I63*0.026283332826</f>
        <v>12509.832670744518</v>
      </c>
      <c r="M63" s="15">
        <f>I63*0.036779545807</f>
        <v>17505.617221283559</v>
      </c>
      <c r="N63" s="16">
        <f>I63*0.052042873123</f>
        <v>24770.360699062021</v>
      </c>
      <c r="O63" s="15">
        <f>I63*0.0273939973</f>
        <v>13038.465276626828</v>
      </c>
      <c r="P63" s="14">
        <f>I63*0.016113929261</f>
        <v>7669.5965484222879</v>
      </c>
      <c r="Q63" s="15">
        <f>I63*0.008369049504</f>
        <v>3983.338399331556</v>
      </c>
      <c r="R63" s="14">
        <f>I63*0.035025701951</f>
        <v>16670.856526571755</v>
      </c>
      <c r="S63" s="15">
        <f>I63*0.012353278939</f>
        <v>5879.6749059560216</v>
      </c>
      <c r="T63" s="14">
        <f>I63*0.019717572454</f>
        <v>9384.7889727598322</v>
      </c>
      <c r="U63" s="15">
        <f>I63*0.014582940317</f>
        <v>6940.9060266763599</v>
      </c>
      <c r="V63" s="14">
        <f>I63*0.038494340111</f>
        <v>18321.791865108233</v>
      </c>
      <c r="W63" s="15">
        <f>I63*0.049959268385</f>
        <v>23778.646794402033</v>
      </c>
      <c r="X63" s="14">
        <f>I63*0.002185679049</f>
        <v>1040.297261993132</v>
      </c>
      <c r="Y63" s="15">
        <f>I63*0.021010369789</f>
        <v>10000.10965697824</v>
      </c>
      <c r="Z63" s="14">
        <f>I63*0.043451006968</f>
        <v>20680.970337495739</v>
      </c>
      <c r="AA63" s="15">
        <f>I63*0.021621727981</f>
        <v>10291.092110932608</v>
      </c>
      <c r="AB63" s="14">
        <f>I63*0.00209418083</f>
        <v>996.74770848183402</v>
      </c>
      <c r="AC63" s="15">
        <f>I63*0.038454418782</f>
        <v>18302.790882657111</v>
      </c>
      <c r="AD63" s="14">
        <f>I63*0.067801027597</f>
        <v>32270.622441913649</v>
      </c>
      <c r="AE63" s="15">
        <f>I63*0.012760851978</f>
        <v>6073.6636421924368</v>
      </c>
      <c r="AF63" s="14">
        <f>I63*0.072016026249</f>
        <v>34276.796019405047</v>
      </c>
      <c r="AG63" s="15">
        <f>I63*0.006184398003</f>
        <v>2943.5302097717517</v>
      </c>
      <c r="AH63" s="15">
        <f>I63*0.004366518238</f>
        <v>2078.290940983657</v>
      </c>
      <c r="AI63" s="64">
        <f>I63*0.019708146889</f>
        <v>9380.3027745384043</v>
      </c>
      <c r="AJ63" s="14">
        <f>I63*0.026908215844</f>
        <v>12807.252409927552</v>
      </c>
      <c r="AK63" s="15">
        <f>I63*0.01836376993</f>
        <v>8740.4322179833489</v>
      </c>
      <c r="AL63" s="14">
        <f>I63*0.036977198467</f>
        <v>17599.692113531684</v>
      </c>
      <c r="AM63" s="15">
        <f>I63*0.022275994495</f>
        <v>10602.497238524144</v>
      </c>
      <c r="AN63" s="14">
        <f>I63*0.000664145731</f>
        <v>316.1072463222971</v>
      </c>
      <c r="AO63" s="15">
        <f>I63*0.024723925078</f>
        <v>11767.615916039615</v>
      </c>
      <c r="AP63" s="14">
        <f>I63*0.026998574469</f>
        <v>12850.259561516423</v>
      </c>
      <c r="AQ63" s="15">
        <f>I63*0.028132809688</f>
        <v>13390.110914953577</v>
      </c>
      <c r="AR63" s="14">
        <f>I63*0.002541311729</f>
        <v>1209.5644302210321</v>
      </c>
      <c r="AS63" s="15">
        <f>I63*0.015416150467</f>
        <v>7337.4812869399657</v>
      </c>
      <c r="AT63" s="14">
        <f>I63*0.001935482073</f>
        <v>921.21334195883162</v>
      </c>
      <c r="AU63" s="15">
        <f>I63*0.067950503019</f>
        <v>32341.766863741275</v>
      </c>
      <c r="AV63" s="14">
        <f>I63*0.021005084476</f>
        <v>9997.5940558678249</v>
      </c>
      <c r="AW63" s="10">
        <f>0.03*E63</f>
        <v>23798.033441119649</v>
      </c>
      <c r="AY63"/>
      <c r="AZ63" s="1"/>
      <c r="BA63" s="1"/>
      <c r="BB63" s="1"/>
      <c r="BC63" s="1"/>
      <c r="BJ63" s="1"/>
    </row>
    <row r="64" spans="1:62" x14ac:dyDescent="0.25">
      <c r="A64" s="3" t="s">
        <v>70</v>
      </c>
      <c r="B64" s="4"/>
      <c r="C64" s="5">
        <f>SUM(C65:C69)</f>
        <v>14296241.907441201</v>
      </c>
      <c r="D64" s="5"/>
      <c r="E64" s="5">
        <f t="shared" ref="E64:AW64" si="193">SUM(E65:E69)</f>
        <v>7148120.9537206003</v>
      </c>
      <c r="F64" s="5">
        <f t="shared" si="193"/>
        <v>2859248.3814882403</v>
      </c>
      <c r="G64" s="5">
        <f t="shared" si="193"/>
        <v>4288872.57223236</v>
      </c>
      <c r="H64" s="5">
        <f t="shared" si="193"/>
        <v>168744.40469438824</v>
      </c>
      <c r="I64" s="5">
        <f t="shared" si="193"/>
        <v>4120128.1675379714</v>
      </c>
      <c r="J64" s="5">
        <f t="shared" si="193"/>
        <v>69216.241417486395</v>
      </c>
      <c r="K64" s="5">
        <f t="shared" si="193"/>
        <v>167018.11436054209</v>
      </c>
      <c r="L64" s="5">
        <f t="shared" si="193"/>
        <v>108290.699913178</v>
      </c>
      <c r="M64" s="5">
        <f t="shared" si="193"/>
        <v>151536.44266867379</v>
      </c>
      <c r="N64" s="5">
        <f t="shared" si="193"/>
        <v>214423.30747367715</v>
      </c>
      <c r="O64" s="5">
        <f t="shared" si="193"/>
        <v>112866.77989718913</v>
      </c>
      <c r="P64" s="5">
        <f t="shared" si="193"/>
        <v>66391.45383796042</v>
      </c>
      <c r="Q64" s="5">
        <f t="shared" si="193"/>
        <v>34481.556596950089</v>
      </c>
      <c r="R64" s="5">
        <f t="shared" si="193"/>
        <v>144310.38119610478</v>
      </c>
      <c r="S64" s="5">
        <f t="shared" si="193"/>
        <v>50897.092518027486</v>
      </c>
      <c r="T64" s="5">
        <f t="shared" si="193"/>
        <v>81238.925663196205</v>
      </c>
      <c r="U64" s="5">
        <f t="shared" si="193"/>
        <v>60083.583165596821</v>
      </c>
      <c r="V64" s="5">
        <f t="shared" si="193"/>
        <v>158601.61498211787</v>
      </c>
      <c r="W64" s="5">
        <f t="shared" si="193"/>
        <v>205838.58890262776</v>
      </c>
      <c r="X64" s="5">
        <f t="shared" si="193"/>
        <v>9005.2778149825062</v>
      </c>
      <c r="Y64" s="5">
        <f t="shared" si="193"/>
        <v>86565.416378047739</v>
      </c>
      <c r="Z64" s="5">
        <f t="shared" si="193"/>
        <v>179023.71771674548</v>
      </c>
      <c r="AA64" s="5">
        <f t="shared" si="193"/>
        <v>89084.290485362028</v>
      </c>
      <c r="AB64" s="5">
        <f t="shared" si="193"/>
        <v>8628.2934256010485</v>
      </c>
      <c r="AC64" s="5">
        <f t="shared" si="193"/>
        <v>158437.13399001939</v>
      </c>
      <c r="AD64" s="5">
        <f t="shared" si="193"/>
        <v>279348.92359041906</v>
      </c>
      <c r="AE64" s="5">
        <f t="shared" si="193"/>
        <v>52576.345676340439</v>
      </c>
      <c r="AF64" s="5">
        <f t="shared" si="193"/>
        <v>296715.25826265884</v>
      </c>
      <c r="AG64" s="5">
        <f t="shared" si="193"/>
        <v>25480.512411425883</v>
      </c>
      <c r="AH64" s="5">
        <f t="shared" si="193"/>
        <v>17990.614786452072</v>
      </c>
      <c r="AI64" s="5">
        <f t="shared" si="193"/>
        <v>81200.091127344756</v>
      </c>
      <c r="AJ64" s="5">
        <f t="shared" si="193"/>
        <v>110865.29803705594</v>
      </c>
      <c r="AK64" s="5">
        <f t="shared" si="193"/>
        <v>75661.085750779792</v>
      </c>
      <c r="AL64" s="5">
        <f t="shared" si="193"/>
        <v>152350.79696052859</v>
      </c>
      <c r="AM64" s="5">
        <f t="shared" si="193"/>
        <v>91779.952378770278</v>
      </c>
      <c r="AN64" s="5">
        <f t="shared" si="193"/>
        <v>2736.3655336431962</v>
      </c>
      <c r="AO64" s="5">
        <f t="shared" si="193"/>
        <v>101865.74012596624</v>
      </c>
      <c r="AP64" s="5">
        <f t="shared" si="193"/>
        <v>111237.58715309844</v>
      </c>
      <c r="AQ64" s="5">
        <f t="shared" si="193"/>
        <v>115910.78162751392</v>
      </c>
      <c r="AR64" s="5">
        <f t="shared" si="193"/>
        <v>10470.530037147524</v>
      </c>
      <c r="AS64" s="5">
        <f t="shared" si="193"/>
        <v>63516.515774090352</v>
      </c>
      <c r="AT64" s="5">
        <f t="shared" si="193"/>
        <v>7974.434206732084</v>
      </c>
      <c r="AU64" s="5">
        <f t="shared" si="193"/>
        <v>279964.78148695594</v>
      </c>
      <c r="AV64" s="5">
        <f t="shared" si="193"/>
        <v>86543.640211082165</v>
      </c>
      <c r="AW64" s="5">
        <f t="shared" si="193"/>
        <v>214443.62861161798</v>
      </c>
      <c r="AX64" s="6"/>
      <c r="AY64"/>
      <c r="AZ64" s="1"/>
      <c r="BA64" s="1"/>
      <c r="BB64" s="1"/>
      <c r="BC64" s="1"/>
      <c r="BJ64" s="1"/>
    </row>
    <row r="65" spans="1:62" x14ac:dyDescent="0.25">
      <c r="A65" s="8"/>
      <c r="B65" s="17" t="s">
        <v>102</v>
      </c>
      <c r="C65" s="21">
        <v>2103340.903761405</v>
      </c>
      <c r="D65" s="59"/>
      <c r="E65" s="10">
        <f>0.5*C65</f>
        <v>1051670.4518807025</v>
      </c>
      <c r="F65" s="59">
        <f>(C65*0.2)+D65</f>
        <v>420668.18075228104</v>
      </c>
      <c r="G65" s="10">
        <f>0.3*C65</f>
        <v>631002.27112842153</v>
      </c>
      <c r="H65" s="11"/>
      <c r="I65" s="12">
        <f>G65-H65</f>
        <v>631002.27112842153</v>
      </c>
      <c r="J65" s="13">
        <f>I65*0.016799535986</f>
        <v>10600.545361069648</v>
      </c>
      <c r="K65" s="11">
        <f>I65*0.040537116218</f>
        <v>25579.012398554769</v>
      </c>
      <c r="L65" s="14">
        <f>I65*0.026283332826</f>
        <v>16584.842706030195</v>
      </c>
      <c r="M65" s="15">
        <f>I65*0.036779545807</f>
        <v>23207.976935288811</v>
      </c>
      <c r="N65" s="16">
        <f>I65*0.052042873123</f>
        <v>32839.171136661287</v>
      </c>
      <c r="O65" s="15">
        <f>I65*0.0273939973</f>
        <v>17285.674511585847</v>
      </c>
      <c r="P65" s="14">
        <f>I65*0.016113929261</f>
        <v>10167.925960493727</v>
      </c>
      <c r="Q65" s="15">
        <f>I65*0.008369049504</f>
        <v>5280.8892442101896</v>
      </c>
      <c r="R65" s="14">
        <f>I65*0.035025701951</f>
        <v>22101.297478948185</v>
      </c>
      <c r="S65" s="15">
        <f>I65*0.012353278939</f>
        <v>7794.9470663918974</v>
      </c>
      <c r="T65" s="14">
        <f>I65*0.019717572454</f>
        <v>12441.832999613203</v>
      </c>
      <c r="U65" s="15">
        <f>I65*0.014582940317</f>
        <v>9201.8684597572228</v>
      </c>
      <c r="V65" s="14">
        <f>I65*0.038494340111</f>
        <v>24290.016035630895</v>
      </c>
      <c r="W65" s="15">
        <f>I65*0.049959268385</f>
        <v>31524.411814849347</v>
      </c>
      <c r="X65" s="14">
        <f>I65*0.002185679049</f>
        <v>1379.1684438768086</v>
      </c>
      <c r="Y65" s="15">
        <f>I65*0.021010369789</f>
        <v>13257.591054106975</v>
      </c>
      <c r="Z65" s="14">
        <f>I65*0.043451006968</f>
        <v>27417.684079624869</v>
      </c>
      <c r="AA65" s="15">
        <f>I65*0.021621727981</f>
        <v>13643.359461731941</v>
      </c>
      <c r="AB65" s="14">
        <f>I65*0.00209418083</f>
        <v>1321.4328598836028</v>
      </c>
      <c r="AC65" s="15">
        <f>I65*0.038454418782</f>
        <v>24264.825586365427</v>
      </c>
      <c r="AD65" s="14">
        <f>I65*0.067801027597</f>
        <v>42782.602398547788</v>
      </c>
      <c r="AE65" s="15">
        <f>I65*0.012760851978</f>
        <v>8052.1265796516109</v>
      </c>
      <c r="AF65" s="14">
        <f>I65*0.072016026249</f>
        <v>45442.276120763017</v>
      </c>
      <c r="AG65" s="15">
        <f>I65*0.006184398003</f>
        <v>3902.3691854550748</v>
      </c>
      <c r="AH65" s="15">
        <f>I65*0.004366518238</f>
        <v>2755.2829251016733</v>
      </c>
      <c r="AI65" s="64">
        <f>I65*0.019708146889</f>
        <v>12435.885446691536</v>
      </c>
      <c r="AJ65" s="14">
        <f>I65*0.026908215844</f>
        <v>16979.145309577776</v>
      </c>
      <c r="AK65" s="15">
        <f>I65*0.01836376993</f>
        <v>11587.580532309814</v>
      </c>
      <c r="AL65" s="14">
        <f>I65*0.036977198467</f>
        <v>23332.696212643386</v>
      </c>
      <c r="AM65" s="15">
        <f>I65*0.022275994495</f>
        <v>14056.203117989215</v>
      </c>
      <c r="AN65" s="14">
        <f>I65*0.000664145731</f>
        <v>419.07746462124572</v>
      </c>
      <c r="AO65" s="15">
        <f>I65*0.024723925078</f>
        <v>15600.852875426935</v>
      </c>
      <c r="AP65" s="14">
        <f>I65*0.026998574469</f>
        <v>17036.161807168817</v>
      </c>
      <c r="AQ65" s="15">
        <f>I65*0.028132809688</f>
        <v>17751.86680635166</v>
      </c>
      <c r="AR65" s="14">
        <f>I65*0.002541311729</f>
        <v>1603.5734726442959</v>
      </c>
      <c r="AS65" s="15">
        <f>I65*0.015416150467</f>
        <v>9727.625956734475</v>
      </c>
      <c r="AT65" s="14">
        <f>I65*0.001935482073</f>
        <v>1221.2935837913453</v>
      </c>
      <c r="AU65" s="15">
        <f>I65*0.067950503019</f>
        <v>42876.921729307665</v>
      </c>
      <c r="AV65" s="14">
        <f>I65*0.021005084476</f>
        <v>13254.256009600351</v>
      </c>
      <c r="AW65" s="10">
        <f>0.03*E65</f>
        <v>31550.113556421074</v>
      </c>
      <c r="AX65" s="6"/>
      <c r="AY65"/>
      <c r="AZ65" s="1"/>
      <c r="BA65" s="1"/>
      <c r="BB65" s="1"/>
      <c r="BC65" s="1"/>
      <c r="BJ65" s="1"/>
    </row>
    <row r="66" spans="1:62" x14ac:dyDescent="0.25">
      <c r="A66" s="17"/>
      <c r="B66" s="17" t="s">
        <v>104</v>
      </c>
      <c r="C66" s="9">
        <v>1151482.4805444705</v>
      </c>
      <c r="D66" s="59"/>
      <c r="E66" s="10">
        <f>0.5*C66</f>
        <v>575741.24027223524</v>
      </c>
      <c r="F66" s="59">
        <f t="shared" si="45"/>
        <v>230296.49610889412</v>
      </c>
      <c r="G66" s="10">
        <f t="shared" si="46"/>
        <v>345444.74416334112</v>
      </c>
      <c r="H66" s="11">
        <f>0.07*G66</f>
        <v>24181.132091433879</v>
      </c>
      <c r="I66" s="12">
        <f t="shared" si="180"/>
        <v>321263.61207190726</v>
      </c>
      <c r="J66" s="13">
        <f t="shared" si="188"/>
        <v>5397.0796119943507</v>
      </c>
      <c r="K66" s="11">
        <f t="shared" si="7"/>
        <v>13023.100379173371</v>
      </c>
      <c r="L66" s="14">
        <f t="shared" si="8"/>
        <v>8443.8784409688906</v>
      </c>
      <c r="M66" s="15">
        <f t="shared" si="184"/>
        <v>11815.929736320992</v>
      </c>
      <c r="N66" s="16">
        <f t="shared" si="10"/>
        <v>16719.481402094963</v>
      </c>
      <c r="O66" s="15">
        <f t="shared" si="11"/>
        <v>8800.6945216860749</v>
      </c>
      <c r="P66" s="14">
        <f t="shared" si="47"/>
        <v>5176.8191190600592</v>
      </c>
      <c r="Q66" s="15">
        <f t="shared" si="12"/>
        <v>2688.6710732636438</v>
      </c>
      <c r="R66" s="14">
        <f t="shared" si="13"/>
        <v>11252.483524132309</v>
      </c>
      <c r="S66" s="15">
        <f t="shared" si="14"/>
        <v>3968.6590128749581</v>
      </c>
      <c r="T66" s="14">
        <f t="shared" si="15"/>
        <v>6334.5385478615808</v>
      </c>
      <c r="U66" s="15">
        <f t="shared" si="16"/>
        <v>4684.9680808684643</v>
      </c>
      <c r="V66" s="14">
        <f t="shared" si="17"/>
        <v>12366.830748384364</v>
      </c>
      <c r="W66" s="15">
        <f t="shared" si="18"/>
        <v>16050.095017834941</v>
      </c>
      <c r="X66" s="14">
        <f t="shared" si="48"/>
        <v>702.17914611163121</v>
      </c>
      <c r="Y66" s="15">
        <f t="shared" si="20"/>
        <v>6749.867289380617</v>
      </c>
      <c r="Z66" s="14">
        <f t="shared" si="21"/>
        <v>13959.227446701292</v>
      </c>
      <c r="AA66" s="15">
        <f t="shared" si="22"/>
        <v>6946.2744304122871</v>
      </c>
      <c r="AB66" s="14">
        <f t="shared" si="49"/>
        <v>672.78409777754473</v>
      </c>
      <c r="AC66" s="15">
        <f t="shared" si="24"/>
        <v>12354.005478031111</v>
      </c>
      <c r="AD66" s="14">
        <f t="shared" si="25"/>
        <v>21782.00302799929</v>
      </c>
      <c r="AE66" s="15">
        <f t="shared" si="26"/>
        <v>4099.597399567223</v>
      </c>
      <c r="AF66" s="14">
        <f t="shared" si="27"/>
        <v>23136.128719819026</v>
      </c>
      <c r="AG66" s="15">
        <f t="shared" si="28"/>
        <v>1986.8220409340699</v>
      </c>
      <c r="AH66" s="15">
        <f t="shared" si="29"/>
        <v>1402.80342131774</v>
      </c>
      <c r="AI66" s="64">
        <f t="shared" si="30"/>
        <v>6331.5104568038623</v>
      </c>
      <c r="AJ66" s="14">
        <f t="shared" si="31"/>
        <v>8644.6306164539656</v>
      </c>
      <c r="AK66" s="15">
        <f t="shared" si="32"/>
        <v>5899.6110589692753</v>
      </c>
      <c r="AL66" s="14">
        <f t="shared" si="33"/>
        <v>11879.428343808211</v>
      </c>
      <c r="AM66" s="15">
        <f t="shared" si="34"/>
        <v>7156.4664539576215</v>
      </c>
      <c r="AN66" s="14">
        <f t="shared" si="35"/>
        <v>213.36585648319726</v>
      </c>
      <c r="AO66" s="15">
        <f t="shared" si="36"/>
        <v>7942.8974751534915</v>
      </c>
      <c r="AP66" s="14">
        <f t="shared" si="37"/>
        <v>8673.6595547033157</v>
      </c>
      <c r="AQ66" s="15">
        <f t="shared" si="38"/>
        <v>9038.0480580984258</v>
      </c>
      <c r="AR66" s="14">
        <f t="shared" si="39"/>
        <v>816.43098545924397</v>
      </c>
      <c r="AS66" s="15">
        <f t="shared" si="40"/>
        <v>4952.6481832724394</v>
      </c>
      <c r="AT66" s="14">
        <f t="shared" si="41"/>
        <v>621.79996187240295</v>
      </c>
      <c r="AU66" s="15">
        <f t="shared" si="50"/>
        <v>21830.024041986981</v>
      </c>
      <c r="AV66" s="14">
        <f t="shared" si="43"/>
        <v>6748.1693106353059</v>
      </c>
      <c r="AW66" s="10">
        <f t="shared" si="51"/>
        <v>17272.237208167058</v>
      </c>
      <c r="AY66"/>
      <c r="AZ66" s="1"/>
      <c r="BA66" s="1"/>
      <c r="BB66" s="1"/>
      <c r="BC66" s="1"/>
      <c r="BJ66" s="1"/>
    </row>
    <row r="67" spans="1:62" x14ac:dyDescent="0.25">
      <c r="A67" s="8"/>
      <c r="B67" s="17" t="s">
        <v>103</v>
      </c>
      <c r="C67" s="9">
        <v>2570917.5983485701</v>
      </c>
      <c r="D67" s="59"/>
      <c r="E67" s="10">
        <f>0.5*C67</f>
        <v>1285458.799174285</v>
      </c>
      <c r="F67" s="59">
        <f>(C67*0.2)+D67</f>
        <v>514183.51966971403</v>
      </c>
      <c r="G67" s="10">
        <f>0.3*C67</f>
        <v>771275.27950457099</v>
      </c>
      <c r="H67" s="11"/>
      <c r="I67" s="12">
        <f>G67-H67</f>
        <v>771275.27950457099</v>
      </c>
      <c r="J67" s="13">
        <f>I67*0.016799535986</f>
        <v>12957.066813149249</v>
      </c>
      <c r="K67" s="11">
        <f>I67*0.040537116218</f>
        <v>31265.275641347227</v>
      </c>
      <c r="L67" s="14">
        <f>I67*0.026283332826</f>
        <v>20271.684871684818</v>
      </c>
      <c r="M67" s="15">
        <f>I67*0.036779545807</f>
        <v>28367.154472345097</v>
      </c>
      <c r="N67" s="16">
        <f>I67*0.052042873123</f>
        <v>40139.381514162749</v>
      </c>
      <c r="O67" s="15">
        <f>I67*0.0273939973</f>
        <v>21128.312924304963</v>
      </c>
      <c r="P67" s="14">
        <f>I67*0.016113929261</f>
        <v>12428.275294694658</v>
      </c>
      <c r="Q67" s="15">
        <f>I67*0.008369049504</f>
        <v>6454.8409953851906</v>
      </c>
      <c r="R67" s="14">
        <f>I67*0.035025701951</f>
        <v>27014.458062101323</v>
      </c>
      <c r="S67" s="15">
        <f>I67*0.012353278939</f>
        <v>9527.7786664751548</v>
      </c>
      <c r="T67" s="14">
        <f>I67*0.019717572454</f>
        <v>15207.67620561048</v>
      </c>
      <c r="U67" s="15">
        <f>I67*0.014582940317</f>
        <v>11247.461368992652</v>
      </c>
      <c r="V67" s="14">
        <f>I67*0.038494340111</f>
        <v>29689.732928455545</v>
      </c>
      <c r="W67" s="15">
        <f>I67*0.049959268385</f>
        <v>38532.348687484751</v>
      </c>
      <c r="X67" s="14">
        <f>I67*0.002185679049</f>
        <v>1685.76021942476</v>
      </c>
      <c r="Y67" s="15">
        <f>I67*0.021010369789</f>
        <v>16204.778831505371</v>
      </c>
      <c r="Z67" s="14">
        <f>I67*0.043451006968</f>
        <v>33512.687543999258</v>
      </c>
      <c r="AA67" s="15">
        <f>I67*0.021621727981</f>
        <v>16676.304291917579</v>
      </c>
      <c r="AB67" s="14">
        <f>I67*0.00209418083</f>
        <v>1615.1899049913643</v>
      </c>
      <c r="AC67" s="15">
        <f>I67*0.038454418782</f>
        <v>29658.94259427287</v>
      </c>
      <c r="AD67" s="14">
        <f>I67*0.067801027597</f>
        <v>52293.256510573308</v>
      </c>
      <c r="AE67" s="15">
        <f>I67*0.012760851978</f>
        <v>9842.1296760484074</v>
      </c>
      <c r="AF67" s="14">
        <f>I67*0.072016026249</f>
        <v>55544.180774005996</v>
      </c>
      <c r="AG67" s="15">
        <f>I67*0.006184398003</f>
        <v>4769.8732983313357</v>
      </c>
      <c r="AH67" s="15">
        <f>I67*0.004366518238</f>
        <v>3367.7875744752564</v>
      </c>
      <c r="AI67" s="11">
        <f>I67*0.019708146889</f>
        <v>15200.406500330617</v>
      </c>
      <c r="AJ67" s="14">
        <f>I67*0.026908215844</f>
        <v>20753.641696050425</v>
      </c>
      <c r="AK67" s="15">
        <f>I67*0.01836376993</f>
        <v>14163.521785518386</v>
      </c>
      <c r="AL67" s="14">
        <f>I67*0.036977198467</f>
        <v>28519.599082931418</v>
      </c>
      <c r="AM67" s="15">
        <f>I67*0.022275994495</f>
        <v>17180.923880373408</v>
      </c>
      <c r="AN67" s="14">
        <f>I67*0.000664145731</f>
        <v>512.23918430879257</v>
      </c>
      <c r="AO67" s="15">
        <f>I67*0.024723925078</f>
        <v>19068.952224984521</v>
      </c>
      <c r="AP67" s="14">
        <f>I67*0.026998574469</f>
        <v>20823.333069802949</v>
      </c>
      <c r="AQ67" s="15">
        <f>I67*0.028132809688</f>
        <v>21698.140655361101</v>
      </c>
      <c r="AR67" s="14">
        <f>I67*0.002541311729</f>
        <v>1960.0509140927197</v>
      </c>
      <c r="AS67" s="15">
        <f>I67*0.015416150467</f>
        <v>11890.095760319948</v>
      </c>
      <c r="AT67" s="14">
        <f>I67*0.001935482073</f>
        <v>1492.7894768291615</v>
      </c>
      <c r="AU67" s="15">
        <f>I67*0.067950503019</f>
        <v>52408.543208455427</v>
      </c>
      <c r="AV67" s="14">
        <f>I67*0.021005084476</f>
        <v>16200.702400244025</v>
      </c>
      <c r="AW67" s="10">
        <f>0.03*E67</f>
        <v>38563.763975228547</v>
      </c>
      <c r="AY67"/>
      <c r="AZ67" s="1"/>
      <c r="BA67" s="1"/>
      <c r="BB67" s="1"/>
      <c r="BC67" s="1"/>
      <c r="BJ67" s="1"/>
    </row>
    <row r="68" spans="1:62" x14ac:dyDescent="0.25">
      <c r="A68" s="17"/>
      <c r="B68" s="17" t="s">
        <v>87</v>
      </c>
      <c r="C68" s="9">
        <v>6883965.3620454455</v>
      </c>
      <c r="D68" s="59"/>
      <c r="E68" s="10">
        <f>0.5*C68</f>
        <v>3441982.6810227227</v>
      </c>
      <c r="F68" s="59">
        <f>(C68*0.2)+D68</f>
        <v>1376793.0724090892</v>
      </c>
      <c r="G68" s="10">
        <f>0.3*C68</f>
        <v>2065189.6086136336</v>
      </c>
      <c r="H68" s="11">
        <f>0.07*G68</f>
        <v>144563.27260295436</v>
      </c>
      <c r="I68" s="12">
        <f>G68-H68</f>
        <v>1920626.3360106791</v>
      </c>
      <c r="J68" s="13">
        <f>I68*0.016799535986</f>
        <v>32265.631247470734</v>
      </c>
      <c r="K68" s="11">
        <f>I68*0.040537116218</f>
        <v>77856.65299421642</v>
      </c>
      <c r="L68" s="14">
        <f>I68*0.026283332826</f>
        <v>50480.461223749589</v>
      </c>
      <c r="M68" s="15">
        <f>I68*0.036779545807</f>
        <v>70639.764303435339</v>
      </c>
      <c r="N68" s="16">
        <f>I68*0.052042873123</f>
        <v>99954.91272169615</v>
      </c>
      <c r="O68" s="15">
        <f>I68*0.0273939973</f>
        <v>52613.632662985437</v>
      </c>
      <c r="P68" s="14">
        <f>I68*0.016113929261</f>
        <v>30948.836915289699</v>
      </c>
      <c r="Q68" s="15">
        <f>I68*0.008369049504</f>
        <v>16073.816884759512</v>
      </c>
      <c r="R68" s="14">
        <f>I68*0.035025701951</f>
        <v>67271.285604351229</v>
      </c>
      <c r="S68" s="15">
        <f>I68*0.012353278939</f>
        <v>23726.03286632946</v>
      </c>
      <c r="T68" s="14">
        <f>I68*0.019717572454</f>
        <v>37870.088937351116</v>
      </c>
      <c r="U68" s="15">
        <f>I68*0.014582940317</f>
        <v>28008.379229302122</v>
      </c>
      <c r="V68" s="14">
        <f>I68*0.038494340111</f>
        <v>73933.243404538851</v>
      </c>
      <c r="W68" s="15">
        <f>I68*0.049959268385</f>
        <v>95953.0865880567</v>
      </c>
      <c r="X68" s="14">
        <f>I68*0.002185679049</f>
        <v>4197.8727435761757</v>
      </c>
      <c r="Y68" s="15">
        <f>I68*0.021010369789</f>
        <v>40353.069546076542</v>
      </c>
      <c r="Z68" s="14">
        <f>I68*0.043451006968</f>
        <v>83453.148308924327</v>
      </c>
      <c r="AA68" s="15">
        <f>I68*0.021621727981</f>
        <v>41527.260190367611</v>
      </c>
      <c r="AB68" s="14">
        <f>I68*0.00209418083</f>
        <v>4022.1388544667029</v>
      </c>
      <c r="AC68" s="15">
        <f>I68*0.038454418782</f>
        <v>73856.569448692899</v>
      </c>
      <c r="AD68" s="14">
        <f>I68*0.067801027597</f>
        <v>130220.43921138506</v>
      </c>
      <c r="AE68" s="15">
        <f>I68*0.012760851978</f>
        <v>24508.828378880768</v>
      </c>
      <c r="AF68" s="14">
        <f>I68*0.072016026249</f>
        <v>138315.87662866575</v>
      </c>
      <c r="AG68" s="15">
        <f>I68*0.006184398003</f>
        <v>11877.917676933652</v>
      </c>
      <c r="AH68" s="15">
        <f>I68*0.004366518238</f>
        <v>8386.4499245737461</v>
      </c>
      <c r="AI68" s="64">
        <f>I68*0.019708146889</f>
        <v>37851.985948980335</v>
      </c>
      <c r="AJ68" s="14">
        <f>I68*0.026908215844</f>
        <v>51680.628005046223</v>
      </c>
      <c r="AK68" s="15">
        <f>I68*0.01836376993</f>
        <v>35269.940155998986</v>
      </c>
      <c r="AL68" s="14">
        <f>I68*0.036977198467</f>
        <v>71019.3812076139</v>
      </c>
      <c r="AM68" s="15">
        <f>I68*0.022275994495</f>
        <v>42783.861687925906</v>
      </c>
      <c r="AN68" s="14">
        <f>I68*0.000664145731</f>
        <v>1275.5757819076641</v>
      </c>
      <c r="AO68" s="15">
        <f>I68*0.024723925078</f>
        <v>47485.421634361686</v>
      </c>
      <c r="AP68" s="14">
        <f>I68*0.026998574469</f>
        <v>51854.173159906939</v>
      </c>
      <c r="AQ68" s="15">
        <f>I68*0.028132809688</f>
        <v>54032.615192749174</v>
      </c>
      <c r="AR68" s="14">
        <f>I68*0.002541311729</f>
        <v>4880.9102347302342</v>
      </c>
      <c r="AS68" s="15">
        <f>I68*0.015416150467</f>
        <v>29608.664586823528</v>
      </c>
      <c r="AT68" s="14">
        <f>I68*0.001935482073</f>
        <v>3717.3378422803439</v>
      </c>
      <c r="AU68" s="15">
        <f>I68*0.067950503019</f>
        <v>130507.52564346457</v>
      </c>
      <c r="AV68" s="14">
        <f>I68*0.021005084476</f>
        <v>40342.918434734675</v>
      </c>
      <c r="AW68" s="10">
        <f>0.03*E68</f>
        <v>103259.48043068168</v>
      </c>
      <c r="AY68"/>
      <c r="AZ68" s="1"/>
      <c r="BA68" s="1"/>
      <c r="BB68" s="1"/>
      <c r="BC68" s="1"/>
      <c r="BJ68" s="1"/>
    </row>
    <row r="69" spans="1:62" x14ac:dyDescent="0.25">
      <c r="A69" s="17"/>
      <c r="B69" s="17" t="s">
        <v>44</v>
      </c>
      <c r="C69" s="21">
        <v>1586535.5627413087</v>
      </c>
      <c r="D69" s="59"/>
      <c r="E69" s="10">
        <f>0.5*C69</f>
        <v>793267.78137065435</v>
      </c>
      <c r="F69" s="59">
        <f>(C69*0.2)+D69</f>
        <v>317307.11254826176</v>
      </c>
      <c r="G69" s="10">
        <f>0.3*C69</f>
        <v>475960.66882239259</v>
      </c>
      <c r="H69" s="11"/>
      <c r="I69" s="12">
        <f>G69-H69</f>
        <v>475960.66882239259</v>
      </c>
      <c r="J69" s="13">
        <f>I69*0.016799535986</f>
        <v>7995.9183838024128</v>
      </c>
      <c r="K69" s="11">
        <f>I69*0.040537116218</f>
        <v>19294.072947250337</v>
      </c>
      <c r="L69" s="14">
        <f>I69*0.026283332826</f>
        <v>12509.832670744507</v>
      </c>
      <c r="M69" s="15">
        <f>I69*0.036779545807</f>
        <v>17505.617221283544</v>
      </c>
      <c r="N69" s="16">
        <f>I69*0.052042873123</f>
        <v>24770.360699061999</v>
      </c>
      <c r="O69" s="15">
        <f>I69*0.0273939973</f>
        <v>13038.465276626817</v>
      </c>
      <c r="P69" s="14">
        <f>I69*0.016113929261</f>
        <v>7669.5965484222816</v>
      </c>
      <c r="Q69" s="15">
        <f>I69*0.008369049504</f>
        <v>3983.3383993315529</v>
      </c>
      <c r="R69" s="14">
        <f>I69*0.035025701951</f>
        <v>16670.856526571741</v>
      </c>
      <c r="S69" s="15">
        <f>I69*0.012353278939</f>
        <v>5879.6749059560161</v>
      </c>
      <c r="T69" s="14">
        <f>I69*0.019717572454</f>
        <v>9384.7889727598249</v>
      </c>
      <c r="U69" s="15">
        <f>I69*0.014582940317</f>
        <v>6940.9060266763536</v>
      </c>
      <c r="V69" s="14">
        <f>I69*0.038494340111</f>
        <v>18321.791865108215</v>
      </c>
      <c r="W69" s="15">
        <f>I69*0.049959268385</f>
        <v>23778.646794402011</v>
      </c>
      <c r="X69" s="14">
        <f>I69*0.002185679049</f>
        <v>1040.2972619931311</v>
      </c>
      <c r="Y69" s="15">
        <f>I69*0.021010369789</f>
        <v>10000.109656978233</v>
      </c>
      <c r="Z69" s="14">
        <f>I69*0.043451006968</f>
        <v>20680.970337495721</v>
      </c>
      <c r="AA69" s="15">
        <f>I69*0.021621727981</f>
        <v>10291.092110932601</v>
      </c>
      <c r="AB69" s="14">
        <f>I69*0.00209418083</f>
        <v>996.74770848183323</v>
      </c>
      <c r="AC69" s="15">
        <f>I69*0.038454418782</f>
        <v>18302.790882657093</v>
      </c>
      <c r="AD69" s="14">
        <f>I69*0.067801027597</f>
        <v>32270.62244191362</v>
      </c>
      <c r="AE69" s="15">
        <f>I69*0.012760851978</f>
        <v>6073.6636421924313</v>
      </c>
      <c r="AF69" s="14">
        <f>I69*0.072016026249</f>
        <v>34276.796019405017</v>
      </c>
      <c r="AG69" s="15">
        <f>I69*0.006184398003</f>
        <v>2943.530209771749</v>
      </c>
      <c r="AH69" s="15">
        <f>I69*0.004366518238</f>
        <v>2078.2909409836552</v>
      </c>
      <c r="AI69" s="64">
        <f>I69*0.019708146889</f>
        <v>9380.302774538397</v>
      </c>
      <c r="AJ69" s="14">
        <f>I69*0.026908215844</f>
        <v>12807.252409927542</v>
      </c>
      <c r="AK69" s="15">
        <f>I69*0.01836376993</f>
        <v>8740.4322179833416</v>
      </c>
      <c r="AL69" s="14">
        <f>I69*0.036977198467</f>
        <v>17599.69211353167</v>
      </c>
      <c r="AM69" s="15">
        <f>I69*0.022275994495</f>
        <v>10602.497238524134</v>
      </c>
      <c r="AN69" s="14">
        <f>I69*0.000664145731</f>
        <v>316.10724632229682</v>
      </c>
      <c r="AO69" s="15">
        <f>I69*0.024723925078</f>
        <v>11767.615916039606</v>
      </c>
      <c r="AP69" s="14">
        <f>I69*0.026998574469</f>
        <v>12850.259561516412</v>
      </c>
      <c r="AQ69" s="15">
        <f>I69*0.028132809688</f>
        <v>13390.110914953566</v>
      </c>
      <c r="AR69" s="14">
        <f>I69*0.002541311729</f>
        <v>1209.564430221031</v>
      </c>
      <c r="AS69" s="15">
        <f>I69*0.015416150467</f>
        <v>7337.4812869399593</v>
      </c>
      <c r="AT69" s="14">
        <f>I69*0.001935482073</f>
        <v>921.21334195883094</v>
      </c>
      <c r="AU69" s="15">
        <f>I69*0.067950503019</f>
        <v>32341.76686374125</v>
      </c>
      <c r="AV69" s="14">
        <f>I69*0.021005084476</f>
        <v>9997.5940558678158</v>
      </c>
      <c r="AW69" s="10">
        <f>0.03*E69</f>
        <v>23798.033441119631</v>
      </c>
      <c r="AY69"/>
      <c r="AZ69" s="1"/>
      <c r="BA69" s="1"/>
      <c r="BB69" s="1"/>
      <c r="BC69" s="1"/>
      <c r="BJ69" s="1"/>
    </row>
    <row r="70" spans="1:62" x14ac:dyDescent="0.25">
      <c r="A70" s="3" t="s">
        <v>71</v>
      </c>
      <c r="B70" s="4"/>
      <c r="C70" s="5">
        <f>SUM(C71:C75)</f>
        <v>13196679.406420957</v>
      </c>
      <c r="D70" s="5"/>
      <c r="E70" s="5">
        <f t="shared" ref="E70:AW70" si="194">SUM(E71:E75)</f>
        <v>6598339.7032104786</v>
      </c>
      <c r="F70" s="5">
        <f t="shared" si="194"/>
        <v>2639335.8812841922</v>
      </c>
      <c r="G70" s="5">
        <f t="shared" si="194"/>
        <v>3959003.8219262874</v>
      </c>
      <c r="H70" s="5">
        <f t="shared" si="194"/>
        <v>145701.1521732508</v>
      </c>
      <c r="I70" s="5">
        <f t="shared" si="194"/>
        <v>3813302.6697530365</v>
      </c>
      <c r="J70" s="5">
        <f t="shared" si="194"/>
        <v>64061.715426026007</v>
      </c>
      <c r="K70" s="5">
        <f t="shared" si="194"/>
        <v>154580.29349818849</v>
      </c>
      <c r="L70" s="5">
        <f t="shared" si="194"/>
        <v>100226.30323539342</v>
      </c>
      <c r="M70" s="5">
        <f t="shared" si="194"/>
        <v>140251.5402181372</v>
      </c>
      <c r="N70" s="5">
        <f t="shared" si="194"/>
        <v>198455.22702155446</v>
      </c>
      <c r="O70" s="5">
        <f t="shared" si="194"/>
        <v>104461.60303929745</v>
      </c>
      <c r="P70" s="5">
        <f t="shared" si="194"/>
        <v>61447.28947118287</v>
      </c>
      <c r="Q70" s="5">
        <f t="shared" si="194"/>
        <v>31913.718816898523</v>
      </c>
      <c r="R70" s="5">
        <f t="shared" si="194"/>
        <v>133563.60275972245</v>
      </c>
      <c r="S70" s="5">
        <f t="shared" si="194"/>
        <v>47106.791558292658</v>
      </c>
      <c r="T70" s="5">
        <f t="shared" si="194"/>
        <v>75189.071679887129</v>
      </c>
      <c r="U70" s="5">
        <f t="shared" si="194"/>
        <v>55609.165243665295</v>
      </c>
      <c r="V70" s="5">
        <f t="shared" si="194"/>
        <v>146790.56991565772</v>
      </c>
      <c r="W70" s="5">
        <f t="shared" si="194"/>
        <v>190509.81151142897</v>
      </c>
      <c r="X70" s="5">
        <f t="shared" si="194"/>
        <v>8334.6557527749774</v>
      </c>
      <c r="Y70" s="5">
        <f t="shared" si="194"/>
        <v>80118.899208892253</v>
      </c>
      <c r="Z70" s="5">
        <f t="shared" si="194"/>
        <v>165691.84087453218</v>
      </c>
      <c r="AA70" s="5">
        <f t="shared" si="194"/>
        <v>82450.193034621218</v>
      </c>
      <c r="AB70" s="5">
        <f t="shared" si="194"/>
        <v>7985.7453499846288</v>
      </c>
      <c r="AC70" s="5">
        <f t="shared" si="194"/>
        <v>146638.33780520188</v>
      </c>
      <c r="AD70" s="5">
        <f t="shared" si="194"/>
        <v>258545.83954763939</v>
      </c>
      <c r="AE70" s="5">
        <f t="shared" si="194"/>
        <v>48660.990916030714</v>
      </c>
      <c r="AF70" s="5">
        <f t="shared" si="194"/>
        <v>274618.90516031644</v>
      </c>
      <c r="AG70" s="5">
        <f t="shared" si="194"/>
        <v>23582.981415655246</v>
      </c>
      <c r="AH70" s="5">
        <f t="shared" si="194"/>
        <v>16650.855654490722</v>
      </c>
      <c r="AI70" s="5">
        <f t="shared" si="194"/>
        <v>75153.129147708707</v>
      </c>
      <c r="AJ70" s="5">
        <f t="shared" si="194"/>
        <v>102609.17131621616</v>
      </c>
      <c r="AK70" s="5">
        <f t="shared" si="194"/>
        <v>70026.612900799533</v>
      </c>
      <c r="AL70" s="5">
        <f t="shared" si="194"/>
        <v>141005.24963419899</v>
      </c>
      <c r="AM70" s="5">
        <f t="shared" si="194"/>
        <v>84945.109279187454</v>
      </c>
      <c r="AN70" s="5">
        <f t="shared" si="194"/>
        <v>2532.5886891273817</v>
      </c>
      <c r="AO70" s="5">
        <f t="shared" si="194"/>
        <v>94279.809506711448</v>
      </c>
      <c r="AP70" s="5">
        <f t="shared" si="194"/>
        <v>102953.73610216386</v>
      </c>
      <c r="AQ70" s="5">
        <f t="shared" si="194"/>
        <v>107278.91829090448</v>
      </c>
      <c r="AR70" s="5">
        <f t="shared" si="194"/>
        <v>9690.7908008704071</v>
      </c>
      <c r="AS70" s="5">
        <f t="shared" si="194"/>
        <v>58786.44773312562</v>
      </c>
      <c r="AT70" s="5">
        <f t="shared" si="194"/>
        <v>7380.5789562300406</v>
      </c>
      <c r="AU70" s="5">
        <f t="shared" si="194"/>
        <v>259115.83457341447</v>
      </c>
      <c r="AV70" s="5">
        <f t="shared" si="194"/>
        <v>80098.744710718864</v>
      </c>
      <c r="AW70" s="5">
        <f t="shared" si="194"/>
        <v>197950.19109631437</v>
      </c>
      <c r="AX70" s="6"/>
      <c r="AY70"/>
      <c r="AZ70" s="1"/>
      <c r="BA70" s="1"/>
      <c r="BB70" s="1"/>
      <c r="BC70" s="1"/>
      <c r="BJ70" s="1"/>
    </row>
    <row r="71" spans="1:62" x14ac:dyDescent="0.25">
      <c r="A71" s="17"/>
      <c r="B71" s="17" t="s">
        <v>102</v>
      </c>
      <c r="C71" s="21">
        <v>2103340.903761405</v>
      </c>
      <c r="D71" s="59"/>
      <c r="E71" s="10">
        <f>0.5*C71</f>
        <v>1051670.4518807025</v>
      </c>
      <c r="F71" s="59">
        <f>(C71*0.2)+D71</f>
        <v>420668.18075228104</v>
      </c>
      <c r="G71" s="10">
        <f>0.3*C71</f>
        <v>631002.27112842153</v>
      </c>
      <c r="H71" s="11"/>
      <c r="I71" s="12">
        <f>G71-H71</f>
        <v>631002.27112842153</v>
      </c>
      <c r="J71" s="13">
        <f>I71*0.016799535986</f>
        <v>10600.545361069648</v>
      </c>
      <c r="K71" s="11">
        <f>I71*0.040537116218</f>
        <v>25579.012398554769</v>
      </c>
      <c r="L71" s="14">
        <f>I71*0.026283332826</f>
        <v>16584.842706030195</v>
      </c>
      <c r="M71" s="15">
        <f>I71*0.036779545807</f>
        <v>23207.976935288811</v>
      </c>
      <c r="N71" s="16">
        <f>I71*0.052042873123</f>
        <v>32839.171136661287</v>
      </c>
      <c r="O71" s="15">
        <f>I71*0.0273939973</f>
        <v>17285.674511585847</v>
      </c>
      <c r="P71" s="14">
        <f>I71*0.016113929261</f>
        <v>10167.925960493727</v>
      </c>
      <c r="Q71" s="15">
        <f>I71*0.008369049504</f>
        <v>5280.8892442101896</v>
      </c>
      <c r="R71" s="14">
        <f>I71*0.035025701951</f>
        <v>22101.297478948185</v>
      </c>
      <c r="S71" s="15">
        <f>I71*0.012353278939</f>
        <v>7794.9470663918974</v>
      </c>
      <c r="T71" s="14">
        <f>I71*0.019717572454</f>
        <v>12441.832999613203</v>
      </c>
      <c r="U71" s="15">
        <f>I71*0.014582940317</f>
        <v>9201.8684597572228</v>
      </c>
      <c r="V71" s="14">
        <f>I71*0.038494340111</f>
        <v>24290.016035630895</v>
      </c>
      <c r="W71" s="15">
        <f>I71*0.049959268385</f>
        <v>31524.411814849347</v>
      </c>
      <c r="X71" s="14">
        <f>I71*0.002185679049</f>
        <v>1379.1684438768086</v>
      </c>
      <c r="Y71" s="15">
        <f>I71*0.021010369789</f>
        <v>13257.591054106975</v>
      </c>
      <c r="Z71" s="14">
        <f>I71*0.043451006968</f>
        <v>27417.684079624869</v>
      </c>
      <c r="AA71" s="15">
        <f>I71*0.021621727981</f>
        <v>13643.359461731941</v>
      </c>
      <c r="AB71" s="14">
        <f>I71*0.00209418083</f>
        <v>1321.4328598836028</v>
      </c>
      <c r="AC71" s="15">
        <f>I71*0.038454418782</f>
        <v>24264.825586365427</v>
      </c>
      <c r="AD71" s="14">
        <f>I71*0.067801027597</f>
        <v>42782.602398547788</v>
      </c>
      <c r="AE71" s="15">
        <f>I71*0.012760851978</f>
        <v>8052.1265796516109</v>
      </c>
      <c r="AF71" s="14">
        <f>I71*0.072016026249</f>
        <v>45442.276120763017</v>
      </c>
      <c r="AG71" s="15">
        <f>I71*0.006184398003</f>
        <v>3902.3691854550748</v>
      </c>
      <c r="AH71" s="15">
        <f>I71*0.004366518238</f>
        <v>2755.2829251016733</v>
      </c>
      <c r="AI71" s="64">
        <f>I71*0.019708146889</f>
        <v>12435.885446691536</v>
      </c>
      <c r="AJ71" s="14">
        <f>I71*0.026908215844</f>
        <v>16979.145309577776</v>
      </c>
      <c r="AK71" s="15">
        <f>I71*0.01836376993</f>
        <v>11587.580532309814</v>
      </c>
      <c r="AL71" s="14">
        <f>I71*0.036977198467</f>
        <v>23332.696212643386</v>
      </c>
      <c r="AM71" s="15">
        <f>I71*0.022275994495</f>
        <v>14056.203117989215</v>
      </c>
      <c r="AN71" s="14">
        <f>I71*0.000664145731</f>
        <v>419.07746462124572</v>
      </c>
      <c r="AO71" s="15">
        <f>I71*0.024723925078</f>
        <v>15600.852875426935</v>
      </c>
      <c r="AP71" s="14">
        <f>I71*0.026998574469</f>
        <v>17036.161807168817</v>
      </c>
      <c r="AQ71" s="15">
        <f>I71*0.028132809688</f>
        <v>17751.86680635166</v>
      </c>
      <c r="AR71" s="14">
        <f>I71*0.002541311729</f>
        <v>1603.5734726442959</v>
      </c>
      <c r="AS71" s="15">
        <f>I71*0.015416150467</f>
        <v>9727.625956734475</v>
      </c>
      <c r="AT71" s="14">
        <f>I71*0.001935482073</f>
        <v>1221.2935837913453</v>
      </c>
      <c r="AU71" s="15">
        <f>I71*0.067950503019</f>
        <v>42876.921729307665</v>
      </c>
      <c r="AV71" s="14">
        <f>I71*0.021005084476</f>
        <v>13254.256009600351</v>
      </c>
      <c r="AW71" s="10">
        <f>0.03*E71</f>
        <v>31550.113556421074</v>
      </c>
      <c r="AX71" s="6"/>
      <c r="AY71"/>
      <c r="AZ71" s="1"/>
      <c r="BA71" s="1"/>
      <c r="BB71" s="1"/>
      <c r="BC71" s="1"/>
      <c r="BJ71" s="1"/>
    </row>
    <row r="72" spans="1:62" x14ac:dyDescent="0.25">
      <c r="A72" s="17"/>
      <c r="B72" s="17" t="s">
        <v>104</v>
      </c>
      <c r="C72" s="9">
        <v>1151482.4805444705</v>
      </c>
      <c r="D72" s="59"/>
      <c r="E72" s="10">
        <f>0.5*C72</f>
        <v>575741.24027223524</v>
      </c>
      <c r="F72" s="59">
        <f t="shared" ref="F72:F100" si="195">(C72*0.2)+D72</f>
        <v>230296.49610889412</v>
      </c>
      <c r="G72" s="10">
        <f t="shared" si="46"/>
        <v>345444.74416334112</v>
      </c>
      <c r="H72" s="11">
        <f>0.07*G72</f>
        <v>24181.132091433879</v>
      </c>
      <c r="I72" s="12">
        <f t="shared" si="180"/>
        <v>321263.61207190726</v>
      </c>
      <c r="J72" s="13">
        <f t="shared" si="188"/>
        <v>5397.0796119943507</v>
      </c>
      <c r="K72" s="11">
        <f t="shared" si="7"/>
        <v>13023.100379173371</v>
      </c>
      <c r="L72" s="14">
        <f t="shared" si="8"/>
        <v>8443.8784409688906</v>
      </c>
      <c r="M72" s="15">
        <f t="shared" si="184"/>
        <v>11815.929736320992</v>
      </c>
      <c r="N72" s="16">
        <f t="shared" si="10"/>
        <v>16719.481402094963</v>
      </c>
      <c r="O72" s="15">
        <f t="shared" si="11"/>
        <v>8800.6945216860749</v>
      </c>
      <c r="P72" s="14">
        <f t="shared" si="47"/>
        <v>5176.8191190600592</v>
      </c>
      <c r="Q72" s="15">
        <f t="shared" si="12"/>
        <v>2688.6710732636438</v>
      </c>
      <c r="R72" s="14">
        <f t="shared" si="13"/>
        <v>11252.483524132309</v>
      </c>
      <c r="S72" s="15">
        <f t="shared" si="14"/>
        <v>3968.6590128749581</v>
      </c>
      <c r="T72" s="14">
        <f t="shared" si="15"/>
        <v>6334.5385478615808</v>
      </c>
      <c r="U72" s="15">
        <f t="shared" si="16"/>
        <v>4684.9680808684643</v>
      </c>
      <c r="V72" s="14">
        <f t="shared" si="17"/>
        <v>12366.830748384364</v>
      </c>
      <c r="W72" s="15">
        <f t="shared" si="18"/>
        <v>16050.095017834941</v>
      </c>
      <c r="X72" s="14">
        <f t="shared" si="48"/>
        <v>702.17914611163121</v>
      </c>
      <c r="Y72" s="15">
        <f t="shared" si="20"/>
        <v>6749.867289380617</v>
      </c>
      <c r="Z72" s="14">
        <f t="shared" si="21"/>
        <v>13959.227446701292</v>
      </c>
      <c r="AA72" s="15">
        <f t="shared" si="22"/>
        <v>6946.2744304122871</v>
      </c>
      <c r="AB72" s="14">
        <f t="shared" si="49"/>
        <v>672.78409777754473</v>
      </c>
      <c r="AC72" s="15">
        <f t="shared" si="24"/>
        <v>12354.005478031111</v>
      </c>
      <c r="AD72" s="14">
        <f t="shared" si="25"/>
        <v>21782.00302799929</v>
      </c>
      <c r="AE72" s="15">
        <f t="shared" si="26"/>
        <v>4099.597399567223</v>
      </c>
      <c r="AF72" s="14">
        <f t="shared" si="27"/>
        <v>23136.128719819026</v>
      </c>
      <c r="AG72" s="15">
        <f t="shared" si="28"/>
        <v>1986.8220409340699</v>
      </c>
      <c r="AH72" s="15">
        <f t="shared" si="29"/>
        <v>1402.80342131774</v>
      </c>
      <c r="AI72" s="2">
        <f t="shared" si="30"/>
        <v>6331.5104568038623</v>
      </c>
      <c r="AJ72" s="14">
        <f t="shared" si="31"/>
        <v>8644.6306164539656</v>
      </c>
      <c r="AK72" s="15">
        <f t="shared" si="32"/>
        <v>5899.6110589692753</v>
      </c>
      <c r="AL72" s="14">
        <f t="shared" si="33"/>
        <v>11879.428343808211</v>
      </c>
      <c r="AM72" s="15">
        <f t="shared" si="34"/>
        <v>7156.4664539576215</v>
      </c>
      <c r="AN72" s="14">
        <f t="shared" si="35"/>
        <v>213.36585648319726</v>
      </c>
      <c r="AO72" s="15">
        <f t="shared" si="36"/>
        <v>7942.8974751534915</v>
      </c>
      <c r="AP72" s="14">
        <f t="shared" si="37"/>
        <v>8673.6595547033157</v>
      </c>
      <c r="AQ72" s="15">
        <f t="shared" si="38"/>
        <v>9038.0480580984258</v>
      </c>
      <c r="AR72" s="14">
        <f t="shared" si="39"/>
        <v>816.43098545924397</v>
      </c>
      <c r="AS72" s="15">
        <f t="shared" si="40"/>
        <v>4952.6481832724394</v>
      </c>
      <c r="AT72" s="14">
        <f t="shared" si="41"/>
        <v>621.79996187240295</v>
      </c>
      <c r="AU72" s="15">
        <f t="shared" si="50"/>
        <v>21830.024041986981</v>
      </c>
      <c r="AV72" s="14">
        <f t="shared" si="43"/>
        <v>6748.1693106353059</v>
      </c>
      <c r="AW72" s="10">
        <f t="shared" si="51"/>
        <v>17272.237208167058</v>
      </c>
      <c r="AY72"/>
      <c r="AZ72" s="1"/>
      <c r="BA72" s="1"/>
      <c r="BB72" s="1"/>
      <c r="BC72" s="1"/>
      <c r="BJ72" s="1"/>
    </row>
    <row r="73" spans="1:62" x14ac:dyDescent="0.25">
      <c r="A73" s="8"/>
      <c r="B73" s="17" t="s">
        <v>103</v>
      </c>
      <c r="C73" s="9">
        <v>2568652.8364301105</v>
      </c>
      <c r="D73" s="59"/>
      <c r="E73" s="10">
        <f>0.5*C73</f>
        <v>1284326.4182150553</v>
      </c>
      <c r="F73" s="59">
        <f>(C73*0.2)+D73</f>
        <v>513730.56728602212</v>
      </c>
      <c r="G73" s="10">
        <f>0.3*C73</f>
        <v>770595.85092903313</v>
      </c>
      <c r="H73" s="11"/>
      <c r="I73" s="12">
        <f>G73-H73</f>
        <v>770595.85092903313</v>
      </c>
      <c r="J73" s="13">
        <f>I73*0.016799535986</f>
        <v>12945.652728344585</v>
      </c>
      <c r="K73" s="11">
        <f>I73*0.040537116218</f>
        <v>31237.733566218816</v>
      </c>
      <c r="L73" s="14">
        <f>I73*0.026283332826</f>
        <v>20253.827224302458</v>
      </c>
      <c r="M73" s="15">
        <f>I73*0.036779545807</f>
        <v>28342.165397928515</v>
      </c>
      <c r="N73" s="16">
        <f>I73*0.052042873123</f>
        <v>40104.022099009897</v>
      </c>
      <c r="O73" s="15">
        <f>I73*0.0273939973</f>
        <v>21109.700659741135</v>
      </c>
      <c r="P73" s="14">
        <f>I73*0.016113929261</f>
        <v>12417.32703069054</v>
      </c>
      <c r="Q73" s="15">
        <f>I73*0.008369049504</f>
        <v>6449.154824002082</v>
      </c>
      <c r="R73" s="14">
        <f>I73*0.035025701951</f>
        <v>26990.66059931754</v>
      </c>
      <c r="S73" s="15">
        <f>I73*0.012353278939</f>
        <v>9519.385495762408</v>
      </c>
      <c r="T73" s="14">
        <f>I73*0.019717572454</f>
        <v>15194.279523444993</v>
      </c>
      <c r="U73" s="15">
        <f>I73*0.014582940317</f>
        <v>11237.55330262592</v>
      </c>
      <c r="V73" s="14">
        <f>I73*0.038494340111</f>
        <v>29663.57877378766</v>
      </c>
      <c r="W73" s="15">
        <f>I73*0.049959268385</f>
        <v>38498.404932931015</v>
      </c>
      <c r="X73" s="14">
        <f>I73*0.002185679049</f>
        <v>1684.275206621915</v>
      </c>
      <c r="Y73" s="15">
        <f>I73*0.021010369789</f>
        <v>16190.503785888106</v>
      </c>
      <c r="Z73" s="14">
        <f>I73*0.043451006968</f>
        <v>33483.16568822931</v>
      </c>
      <c r="AA73" s="15">
        <f>I73*0.021621727981</f>
        <v>16661.61387207478</v>
      </c>
      <c r="AB73" s="14">
        <f>I73*0.00209418083</f>
        <v>1613.7670586931188</v>
      </c>
      <c r="AC73" s="15">
        <f>I73*0.038454418782</f>
        <v>29632.815563296681</v>
      </c>
      <c r="AD73" s="14">
        <f>I73*0.067801027597</f>
        <v>52247.19055497308</v>
      </c>
      <c r="AE73" s="15">
        <f>I73*0.012760851978</f>
        <v>9833.4595885663457</v>
      </c>
      <c r="AF73" s="14">
        <f>I73*0.072016026249</f>
        <v>55495.25102787574</v>
      </c>
      <c r="AG73" s="15">
        <f>I73*0.006184398003</f>
        <v>4765.6714416055984</v>
      </c>
      <c r="AH73" s="15">
        <f>I73*0.004366518238</f>
        <v>3364.820837208752</v>
      </c>
      <c r="AI73" s="11">
        <f>I73*0.019708146889</f>
        <v>15187.016222163333</v>
      </c>
      <c r="AJ73" s="14">
        <f>I73*0.026908215844</f>
        <v>20735.359485289271</v>
      </c>
      <c r="AK73" s="15">
        <f>I73*0.01836376993</f>
        <v>14151.04491547334</v>
      </c>
      <c r="AL73" s="14">
        <f>I73*0.036977198467</f>
        <v>28494.475717649602</v>
      </c>
      <c r="AM73" s="15">
        <f>I73*0.022275994495</f>
        <v>17165.788933164982</v>
      </c>
      <c r="AN73" s="14">
        <f>I73*0.000664145731</f>
        <v>511.78794472082973</v>
      </c>
      <c r="AO73" s="15">
        <f>I73*0.024723925078</f>
        <v>19052.154083787071</v>
      </c>
      <c r="AP73" s="14">
        <f>I73*0.026998574469</f>
        <v>20804.989466809922</v>
      </c>
      <c r="AQ73" s="15">
        <f>I73*0.028132809688</f>
        <v>21679.026420548907</v>
      </c>
      <c r="AR73" s="14">
        <f>I73*0.002541311729</f>
        <v>1958.3242742846876</v>
      </c>
      <c r="AS73" s="15">
        <f>I73*0.015416150467</f>
        <v>11879.621587167876</v>
      </c>
      <c r="AT73" s="14">
        <f>I73*0.001935482073</f>
        <v>1491.474455001324</v>
      </c>
      <c r="AU73" s="15">
        <f>I73*0.067950503019</f>
        <v>52362.37569498214</v>
      </c>
      <c r="AV73" s="14">
        <f>I73*0.021005084476</f>
        <v>16186.430945619444</v>
      </c>
      <c r="AW73" s="10">
        <f>0.03*E73</f>
        <v>38529.792546451659</v>
      </c>
      <c r="AY73"/>
      <c r="AZ73" s="1"/>
      <c r="BA73" s="1"/>
      <c r="BB73" s="1"/>
      <c r="BC73" s="1"/>
      <c r="BJ73" s="1"/>
    </row>
    <row r="74" spans="1:62" x14ac:dyDescent="0.25">
      <c r="A74" s="17"/>
      <c r="B74" s="17" t="s">
        <v>87</v>
      </c>
      <c r="C74" s="9">
        <v>5786667.622943663</v>
      </c>
      <c r="D74" s="59"/>
      <c r="E74" s="10">
        <f>0.5*C74</f>
        <v>2893333.8114718315</v>
      </c>
      <c r="F74" s="59">
        <f>(C74*0.2)+D74</f>
        <v>1157333.5245887327</v>
      </c>
      <c r="G74" s="10">
        <f>0.3*C74</f>
        <v>1736000.2868830988</v>
      </c>
      <c r="H74" s="11">
        <f>0.07*G74</f>
        <v>121520.02008181693</v>
      </c>
      <c r="I74" s="12">
        <f>G74-H74</f>
        <v>1614480.2668012818</v>
      </c>
      <c r="J74" s="13">
        <f>I74*0.016799535986</f>
        <v>27122.519340815019</v>
      </c>
      <c r="K74" s="11">
        <f>I74*0.040537116218</f>
        <v>65446.374206991204</v>
      </c>
      <c r="L74" s="14">
        <f>I74*0.026283332826</f>
        <v>42433.922193347367</v>
      </c>
      <c r="M74" s="15">
        <f>I74*0.036779545807</f>
        <v>59379.850927315325</v>
      </c>
      <c r="N74" s="16">
        <f>I74*0.052042873123</f>
        <v>84022.191684726306</v>
      </c>
      <c r="O74" s="15">
        <f>I74*0.0273939973</f>
        <v>44227.068069657595</v>
      </c>
      <c r="P74" s="14">
        <f>I74*0.016113929261</f>
        <v>26015.620812516259</v>
      </c>
      <c r="Q74" s="15">
        <f>I74*0.008369049504</f>
        <v>13511.665276091055</v>
      </c>
      <c r="R74" s="14">
        <f>I74*0.035025701951</f>
        <v>56548.30463075266</v>
      </c>
      <c r="S74" s="15">
        <f>I74*0.012353278939</f>
        <v>19944.125077307377</v>
      </c>
      <c r="T74" s="14">
        <f>I74*0.019717572454</f>
        <v>31833.631636207527</v>
      </c>
      <c r="U74" s="15">
        <f>I74*0.014582940317</f>
        <v>23543.869373737329</v>
      </c>
      <c r="V74" s="14">
        <f>I74*0.038494340111</f>
        <v>62148.35249274657</v>
      </c>
      <c r="W74" s="15">
        <f>I74*0.049959268385</f>
        <v>80658.252951411647</v>
      </c>
      <c r="X74" s="14">
        <f>I74*0.002185679049</f>
        <v>3528.735694171492</v>
      </c>
      <c r="Y74" s="15">
        <f>I74*0.021010369789</f>
        <v>33920.827422538314</v>
      </c>
      <c r="Z74" s="14">
        <f>I74*0.043451006968</f>
        <v>70150.793322480997</v>
      </c>
      <c r="AA74" s="15">
        <f>I74*0.021621727981</f>
        <v>34907.853159469618</v>
      </c>
      <c r="AB74" s="14">
        <f>I74*0.00209418083</f>
        <v>3381.0136251485296</v>
      </c>
      <c r="AC74" s="15">
        <f>I74*0.038454418782</f>
        <v>62083.900294851577</v>
      </c>
      <c r="AD74" s="14">
        <f>I74*0.067801027597</f>
        <v>109463.42112420563</v>
      </c>
      <c r="AE74" s="15">
        <f>I74*0.012760851978</f>
        <v>20602.143706053106</v>
      </c>
      <c r="AF74" s="14">
        <f>I74*0.072016026249</f>
        <v>116268.45327245363</v>
      </c>
      <c r="AG74" s="15">
        <f>I74*0.006184398003</f>
        <v>9984.5885378887542</v>
      </c>
      <c r="AH74" s="15">
        <f>I74*0.004366518238</f>
        <v>7049.657529878903</v>
      </c>
      <c r="AI74" s="64">
        <f>I74*0.019708146889</f>
        <v>31818.414247511573</v>
      </c>
      <c r="AJ74" s="14">
        <f>I74*0.026908215844</f>
        <v>43442.783494967603</v>
      </c>
      <c r="AK74" s="15">
        <f>I74*0.01836376993</f>
        <v>29647.944176063756</v>
      </c>
      <c r="AL74" s="14">
        <f>I74*0.036977198467</f>
        <v>59698.957246566104</v>
      </c>
      <c r="AM74" s="15">
        <f>I74*0.022275994495</f>
        <v>35964.153535551486</v>
      </c>
      <c r="AN74" s="14">
        <f>I74*0.000664145731</f>
        <v>1072.2501769798123</v>
      </c>
      <c r="AO74" s="15">
        <f>I74*0.024723925078</f>
        <v>39916.289156304345</v>
      </c>
      <c r="AP74" s="14">
        <f>I74*0.026998574469</f>
        <v>43588.665711965397</v>
      </c>
      <c r="AQ74" s="15">
        <f>I74*0.028132809688</f>
        <v>45419.866090951924</v>
      </c>
      <c r="AR74" s="14">
        <f>I74*0.002541311729</f>
        <v>4102.8976382611472</v>
      </c>
      <c r="AS74" s="15">
        <f>I74*0.015416150467</f>
        <v>24889.070719010866</v>
      </c>
      <c r="AT74" s="14">
        <f>I74*0.001935482073</f>
        <v>3124.7976136061379</v>
      </c>
      <c r="AU74" s="15">
        <f>I74*0.067950503019</f>
        <v>109704.74624339644</v>
      </c>
      <c r="AV74" s="14">
        <f>I74*0.021005084476</f>
        <v>33912.294388995942</v>
      </c>
      <c r="AW74" s="10">
        <f>0.03*E74</f>
        <v>86800.014344154944</v>
      </c>
      <c r="AY74"/>
      <c r="AZ74" s="1"/>
      <c r="BA74" s="1"/>
      <c r="BB74" s="1"/>
      <c r="BC74" s="1"/>
      <c r="BJ74" s="1"/>
    </row>
    <row r="75" spans="1:62" x14ac:dyDescent="0.25">
      <c r="A75" s="17"/>
      <c r="B75" s="17" t="s">
        <v>44</v>
      </c>
      <c r="C75" s="21">
        <v>1586535.5627413087</v>
      </c>
      <c r="D75" s="59"/>
      <c r="E75" s="10">
        <f>0.5*C75</f>
        <v>793267.78137065435</v>
      </c>
      <c r="F75" s="59">
        <f>(C75*0.2)+D75</f>
        <v>317307.11254826176</v>
      </c>
      <c r="G75" s="10">
        <f>0.3*C75</f>
        <v>475960.66882239259</v>
      </c>
      <c r="H75" s="11"/>
      <c r="I75" s="12">
        <f>G75-H75</f>
        <v>475960.66882239259</v>
      </c>
      <c r="J75" s="13">
        <f>I75*0.016799535986</f>
        <v>7995.9183838024128</v>
      </c>
      <c r="K75" s="11">
        <f>I75*0.040537116218</f>
        <v>19294.072947250337</v>
      </c>
      <c r="L75" s="14">
        <f>I75*0.026283332826</f>
        <v>12509.832670744507</v>
      </c>
      <c r="M75" s="15">
        <f>I75*0.036779545807</f>
        <v>17505.617221283544</v>
      </c>
      <c r="N75" s="16">
        <f>I75*0.052042873123</f>
        <v>24770.360699061999</v>
      </c>
      <c r="O75" s="15">
        <f>I75*0.0273939973</f>
        <v>13038.465276626817</v>
      </c>
      <c r="P75" s="14">
        <f>I75*0.016113929261</f>
        <v>7669.5965484222816</v>
      </c>
      <c r="Q75" s="15">
        <f>I75*0.008369049504</f>
        <v>3983.3383993315529</v>
      </c>
      <c r="R75" s="14">
        <f>I75*0.035025701951</f>
        <v>16670.856526571741</v>
      </c>
      <c r="S75" s="15">
        <f>I75*0.012353278939</f>
        <v>5879.6749059560161</v>
      </c>
      <c r="T75" s="14">
        <f>I75*0.019717572454</f>
        <v>9384.7889727598249</v>
      </c>
      <c r="U75" s="15">
        <f>I75*0.014582940317</f>
        <v>6940.9060266763536</v>
      </c>
      <c r="V75" s="14">
        <f>I75*0.038494340111</f>
        <v>18321.791865108215</v>
      </c>
      <c r="W75" s="15">
        <f>I75*0.049959268385</f>
        <v>23778.646794402011</v>
      </c>
      <c r="X75" s="14">
        <f>I75*0.002185679049</f>
        <v>1040.2972619931311</v>
      </c>
      <c r="Y75" s="15">
        <f>I75*0.021010369789</f>
        <v>10000.109656978233</v>
      </c>
      <c r="Z75" s="14">
        <f>I75*0.043451006968</f>
        <v>20680.970337495721</v>
      </c>
      <c r="AA75" s="15">
        <f>I75*0.021621727981</f>
        <v>10291.092110932601</v>
      </c>
      <c r="AB75" s="14">
        <f>I75*0.00209418083</f>
        <v>996.74770848183323</v>
      </c>
      <c r="AC75" s="15">
        <f>I75*0.038454418782</f>
        <v>18302.790882657093</v>
      </c>
      <c r="AD75" s="14">
        <f>I75*0.067801027597</f>
        <v>32270.62244191362</v>
      </c>
      <c r="AE75" s="15">
        <f>I75*0.012760851978</f>
        <v>6073.6636421924313</v>
      </c>
      <c r="AF75" s="14">
        <f>I75*0.072016026249</f>
        <v>34276.796019405017</v>
      </c>
      <c r="AG75" s="15">
        <f>I75*0.006184398003</f>
        <v>2943.530209771749</v>
      </c>
      <c r="AH75" s="15">
        <f>I75*0.004366518238</f>
        <v>2078.2909409836552</v>
      </c>
      <c r="AI75" s="64">
        <f>I75*0.019708146889</f>
        <v>9380.302774538397</v>
      </c>
      <c r="AJ75" s="14">
        <f>I75*0.026908215844</f>
        <v>12807.252409927542</v>
      </c>
      <c r="AK75" s="15">
        <f>I75*0.01836376993</f>
        <v>8740.4322179833416</v>
      </c>
      <c r="AL75" s="14">
        <f>I75*0.036977198467</f>
        <v>17599.69211353167</v>
      </c>
      <c r="AM75" s="15">
        <f>I75*0.022275994495</f>
        <v>10602.497238524134</v>
      </c>
      <c r="AN75" s="14">
        <f>I75*0.000664145731</f>
        <v>316.10724632229682</v>
      </c>
      <c r="AO75" s="15">
        <f>I75*0.024723925078</f>
        <v>11767.615916039606</v>
      </c>
      <c r="AP75" s="14">
        <f>I75*0.026998574469</f>
        <v>12850.259561516412</v>
      </c>
      <c r="AQ75" s="15">
        <f>I75*0.028132809688</f>
        <v>13390.110914953566</v>
      </c>
      <c r="AR75" s="14">
        <f>I75*0.002541311729</f>
        <v>1209.564430221031</v>
      </c>
      <c r="AS75" s="15">
        <f>I75*0.015416150467</f>
        <v>7337.4812869399593</v>
      </c>
      <c r="AT75" s="14">
        <f>I75*0.001935482073</f>
        <v>921.21334195883094</v>
      </c>
      <c r="AU75" s="15">
        <f>I75*0.067950503019</f>
        <v>32341.76686374125</v>
      </c>
      <c r="AV75" s="14">
        <f>I75*0.021005084476</f>
        <v>9997.5940558678158</v>
      </c>
      <c r="AW75" s="10">
        <f>0.03*E75</f>
        <v>23798.033441119631</v>
      </c>
      <c r="AY75"/>
      <c r="AZ75" s="1"/>
      <c r="BA75" s="1"/>
      <c r="BB75" s="1"/>
      <c r="BC75" s="1"/>
      <c r="BJ75" s="1"/>
    </row>
    <row r="76" spans="1:62" x14ac:dyDescent="0.25">
      <c r="A76" s="3" t="s">
        <v>72</v>
      </c>
      <c r="B76" s="4"/>
      <c r="C76" s="5">
        <f>SUM(C77:C80)</f>
        <v>12045196.925876487</v>
      </c>
      <c r="D76" s="5"/>
      <c r="E76" s="5">
        <f t="shared" ref="E76:AW76" si="196">SUM(E77:E80)</f>
        <v>6022598.4629382435</v>
      </c>
      <c r="F76" s="5">
        <f t="shared" si="196"/>
        <v>2409039.3851752975</v>
      </c>
      <c r="G76" s="5">
        <f t="shared" si="196"/>
        <v>3613559.0777629465</v>
      </c>
      <c r="H76" s="5">
        <f t="shared" si="196"/>
        <v>121520.02008181693</v>
      </c>
      <c r="I76" s="5">
        <f t="shared" si="196"/>
        <v>3492039.0576811293</v>
      </c>
      <c r="J76" s="5">
        <f t="shared" si="196"/>
        <v>58664.635814031666</v>
      </c>
      <c r="K76" s="5">
        <f t="shared" si="196"/>
        <v>141557.19311901511</v>
      </c>
      <c r="L76" s="5">
        <f t="shared" si="196"/>
        <v>91782.424794424529</v>
      </c>
      <c r="M76" s="5">
        <f t="shared" si="196"/>
        <v>128435.6104818162</v>
      </c>
      <c r="N76" s="5">
        <f t="shared" si="196"/>
        <v>181735.74561945949</v>
      </c>
      <c r="O76" s="5">
        <f t="shared" si="196"/>
        <v>95660.908517611388</v>
      </c>
      <c r="P76" s="5">
        <f t="shared" si="196"/>
        <v>56270.470352122808</v>
      </c>
      <c r="Q76" s="5">
        <f t="shared" si="196"/>
        <v>29225.047743634881</v>
      </c>
      <c r="R76" s="5">
        <f t="shared" si="196"/>
        <v>122311.11923559013</v>
      </c>
      <c r="S76" s="5">
        <f t="shared" si="196"/>
        <v>43138.132545417699</v>
      </c>
      <c r="T76" s="5">
        <f t="shared" si="196"/>
        <v>68854.53313202555</v>
      </c>
      <c r="U76" s="5">
        <f t="shared" si="196"/>
        <v>50924.197162796831</v>
      </c>
      <c r="V76" s="5">
        <f t="shared" si="196"/>
        <v>134423.73916727334</v>
      </c>
      <c r="W76" s="5">
        <f t="shared" si="196"/>
        <v>174459.71649359402</v>
      </c>
      <c r="X76" s="5">
        <f t="shared" si="196"/>
        <v>7632.4766066633474</v>
      </c>
      <c r="Y76" s="5">
        <f t="shared" si="196"/>
        <v>73369.031919511632</v>
      </c>
      <c r="Z76" s="5">
        <f t="shared" si="196"/>
        <v>151732.61342783089</v>
      </c>
      <c r="AA76" s="5">
        <f t="shared" si="196"/>
        <v>75503.918604208942</v>
      </c>
      <c r="AB76" s="5">
        <f t="shared" si="196"/>
        <v>7312.9612522070838</v>
      </c>
      <c r="AC76" s="5">
        <f t="shared" si="196"/>
        <v>134284.33232717076</v>
      </c>
      <c r="AD76" s="5">
        <f t="shared" si="196"/>
        <v>236763.83651964011</v>
      </c>
      <c r="AE76" s="5">
        <f t="shared" si="196"/>
        <v>44561.393516463497</v>
      </c>
      <c r="AF76" s="5">
        <f t="shared" si="196"/>
        <v>251482.7764404974</v>
      </c>
      <c r="AG76" s="5">
        <f t="shared" si="196"/>
        <v>21596.159374721177</v>
      </c>
      <c r="AH76" s="5">
        <f t="shared" si="196"/>
        <v>15248.052233172984</v>
      </c>
      <c r="AI76" s="5">
        <f t="shared" si="196"/>
        <v>68821.618690904841</v>
      </c>
      <c r="AJ76" s="5">
        <f t="shared" si="196"/>
        <v>93964.540699762205</v>
      </c>
      <c r="AK76" s="5">
        <f t="shared" si="196"/>
        <v>64127.00184183025</v>
      </c>
      <c r="AL76" s="5">
        <f t="shared" si="196"/>
        <v>129125.82129039076</v>
      </c>
      <c r="AM76" s="5">
        <f t="shared" si="196"/>
        <v>77788.642825229821</v>
      </c>
      <c r="AN76" s="5">
        <f t="shared" si="196"/>
        <v>2319.2228326441846</v>
      </c>
      <c r="AO76" s="5">
        <f t="shared" si="196"/>
        <v>86336.912031557949</v>
      </c>
      <c r="AP76" s="5">
        <f t="shared" si="196"/>
        <v>94280.076547460558</v>
      </c>
      <c r="AQ76" s="5">
        <f t="shared" si="196"/>
        <v>98240.870232806061</v>
      </c>
      <c r="AR76" s="5">
        <f t="shared" si="196"/>
        <v>8874.3598154111623</v>
      </c>
      <c r="AS76" s="5">
        <f t="shared" si="196"/>
        <v>53833.799549853182</v>
      </c>
      <c r="AT76" s="5">
        <f t="shared" si="196"/>
        <v>6758.7789943576381</v>
      </c>
      <c r="AU76" s="5">
        <f t="shared" si="196"/>
        <v>237285.81053142747</v>
      </c>
      <c r="AV76" s="5">
        <f t="shared" si="196"/>
        <v>73350.575400083559</v>
      </c>
      <c r="AW76" s="5">
        <f t="shared" si="196"/>
        <v>180677.95388814728</v>
      </c>
      <c r="AX76" s="6"/>
      <c r="AY76"/>
      <c r="AZ76" s="1"/>
      <c r="BA76" s="1"/>
      <c r="BB76" s="1"/>
      <c r="BC76" s="1"/>
      <c r="BJ76" s="1"/>
    </row>
    <row r="77" spans="1:62" x14ac:dyDescent="0.25">
      <c r="A77" s="8"/>
      <c r="B77" s="17" t="s">
        <v>102</v>
      </c>
      <c r="C77" s="21">
        <v>2103340.903761405</v>
      </c>
      <c r="D77" s="59"/>
      <c r="E77" s="10">
        <f>0.5*C77</f>
        <v>1051670.4518807025</v>
      </c>
      <c r="F77" s="59">
        <f>(C77*0.2)+D77</f>
        <v>420668.18075228104</v>
      </c>
      <c r="G77" s="10">
        <f>0.3*C77</f>
        <v>631002.27112842153</v>
      </c>
      <c r="H77" s="11"/>
      <c r="I77" s="12">
        <f>G77-H77</f>
        <v>631002.27112842153</v>
      </c>
      <c r="J77" s="13">
        <f>I77*0.016799535986</f>
        <v>10600.545361069648</v>
      </c>
      <c r="K77" s="11">
        <f>I77*0.040537116218</f>
        <v>25579.012398554769</v>
      </c>
      <c r="L77" s="14">
        <f>I77*0.026283332826</f>
        <v>16584.842706030195</v>
      </c>
      <c r="M77" s="15">
        <f>I77*0.036779545807</f>
        <v>23207.976935288811</v>
      </c>
      <c r="N77" s="16">
        <f>I77*0.052042873123</f>
        <v>32839.171136661287</v>
      </c>
      <c r="O77" s="15">
        <f>I77*0.0273939973</f>
        <v>17285.674511585847</v>
      </c>
      <c r="P77" s="14">
        <f>I77*0.016113929261</f>
        <v>10167.925960493727</v>
      </c>
      <c r="Q77" s="15">
        <f>I77*0.008369049504</f>
        <v>5280.8892442101896</v>
      </c>
      <c r="R77" s="14">
        <f>I77*0.035025701951</f>
        <v>22101.297478948185</v>
      </c>
      <c r="S77" s="15">
        <f>I77*0.012353278939</f>
        <v>7794.9470663918974</v>
      </c>
      <c r="T77" s="14">
        <f>I77*0.019717572454</f>
        <v>12441.832999613203</v>
      </c>
      <c r="U77" s="15">
        <f>I77*0.014582940317</f>
        <v>9201.8684597572228</v>
      </c>
      <c r="V77" s="14">
        <f>I77*0.038494340111</f>
        <v>24290.016035630895</v>
      </c>
      <c r="W77" s="15">
        <f>I77*0.049959268385</f>
        <v>31524.411814849347</v>
      </c>
      <c r="X77" s="14">
        <f>I77*0.002185679049</f>
        <v>1379.1684438768086</v>
      </c>
      <c r="Y77" s="15">
        <f>I77*0.021010369789</f>
        <v>13257.591054106975</v>
      </c>
      <c r="Z77" s="14">
        <f>I77*0.043451006968</f>
        <v>27417.684079624869</v>
      </c>
      <c r="AA77" s="15">
        <f>I77*0.021621727981</f>
        <v>13643.359461731941</v>
      </c>
      <c r="AB77" s="14">
        <f>I77*0.00209418083</f>
        <v>1321.4328598836028</v>
      </c>
      <c r="AC77" s="15">
        <f>I77*0.038454418782</f>
        <v>24264.825586365427</v>
      </c>
      <c r="AD77" s="14">
        <f>I77*0.067801027597</f>
        <v>42782.602398547788</v>
      </c>
      <c r="AE77" s="15">
        <f>I77*0.012760851978</f>
        <v>8052.1265796516109</v>
      </c>
      <c r="AF77" s="14">
        <f>I77*0.072016026249</f>
        <v>45442.276120763017</v>
      </c>
      <c r="AG77" s="15">
        <f>I77*0.006184398003</f>
        <v>3902.3691854550748</v>
      </c>
      <c r="AH77" s="15">
        <f>I77*0.004366518238</f>
        <v>2755.2829251016733</v>
      </c>
      <c r="AI77" s="64">
        <f>I77*0.019708146889</f>
        <v>12435.885446691536</v>
      </c>
      <c r="AJ77" s="14">
        <f>I77*0.026908215844</f>
        <v>16979.145309577776</v>
      </c>
      <c r="AK77" s="15">
        <f>I77*0.01836376993</f>
        <v>11587.580532309814</v>
      </c>
      <c r="AL77" s="14">
        <f>I77*0.036977198467</f>
        <v>23332.696212643386</v>
      </c>
      <c r="AM77" s="15">
        <f>I77*0.022275994495</f>
        <v>14056.203117989215</v>
      </c>
      <c r="AN77" s="14">
        <f>I77*0.000664145731</f>
        <v>419.07746462124572</v>
      </c>
      <c r="AO77" s="15">
        <f>I77*0.024723925078</f>
        <v>15600.852875426935</v>
      </c>
      <c r="AP77" s="14">
        <f>I77*0.026998574469</f>
        <v>17036.161807168817</v>
      </c>
      <c r="AQ77" s="15">
        <f>I77*0.028132809688</f>
        <v>17751.86680635166</v>
      </c>
      <c r="AR77" s="14">
        <f>I77*0.002541311729</f>
        <v>1603.5734726442959</v>
      </c>
      <c r="AS77" s="15">
        <f>I77*0.015416150467</f>
        <v>9727.625956734475</v>
      </c>
      <c r="AT77" s="14">
        <f>I77*0.001935482073</f>
        <v>1221.2935837913453</v>
      </c>
      <c r="AU77" s="15">
        <f>I77*0.067950503019</f>
        <v>42876.921729307665</v>
      </c>
      <c r="AV77" s="14">
        <f>I77*0.021005084476</f>
        <v>13254.256009600351</v>
      </c>
      <c r="AW77" s="10">
        <f>0.03*E77</f>
        <v>31550.113556421074</v>
      </c>
      <c r="AX77" s="6"/>
      <c r="AY77"/>
      <c r="AZ77" s="1"/>
      <c r="BA77" s="1"/>
      <c r="BB77" s="1"/>
      <c r="BC77" s="1"/>
      <c r="BJ77" s="1"/>
    </row>
    <row r="78" spans="1:62" x14ac:dyDescent="0.25">
      <c r="A78" s="8"/>
      <c r="B78" s="17" t="s">
        <v>46</v>
      </c>
      <c r="C78" s="9">
        <v>2568652.8364301105</v>
      </c>
      <c r="D78" s="59"/>
      <c r="E78" s="10">
        <f>0.5*C78</f>
        <v>1284326.4182150553</v>
      </c>
      <c r="F78" s="59">
        <f>(C78*0.2)+D78</f>
        <v>513730.56728602212</v>
      </c>
      <c r="G78" s="10">
        <f>0.3*C78</f>
        <v>770595.85092903313</v>
      </c>
      <c r="H78" s="11"/>
      <c r="I78" s="12">
        <f>G78-H78</f>
        <v>770595.85092903313</v>
      </c>
      <c r="J78" s="13">
        <f>I78*0.016799535986</f>
        <v>12945.652728344585</v>
      </c>
      <c r="K78" s="11">
        <f>I78*0.040537116218</f>
        <v>31237.733566218816</v>
      </c>
      <c r="L78" s="14">
        <f>I78*0.026283332826</f>
        <v>20253.827224302458</v>
      </c>
      <c r="M78" s="15">
        <f>I78*0.036779545807</f>
        <v>28342.165397928515</v>
      </c>
      <c r="N78" s="16">
        <f>I78*0.052042873123</f>
        <v>40104.022099009897</v>
      </c>
      <c r="O78" s="15">
        <f>I78*0.0273939973</f>
        <v>21109.700659741135</v>
      </c>
      <c r="P78" s="14">
        <f>I78*0.016113929261</f>
        <v>12417.32703069054</v>
      </c>
      <c r="Q78" s="15">
        <f>I78*0.008369049504</f>
        <v>6449.154824002082</v>
      </c>
      <c r="R78" s="14">
        <f>I78*0.035025701951</f>
        <v>26990.66059931754</v>
      </c>
      <c r="S78" s="15">
        <f>I78*0.012353278939</f>
        <v>9519.385495762408</v>
      </c>
      <c r="T78" s="14">
        <f>I78*0.019717572454</f>
        <v>15194.279523444993</v>
      </c>
      <c r="U78" s="15">
        <f>I78*0.014582940317</f>
        <v>11237.55330262592</v>
      </c>
      <c r="V78" s="14">
        <f>I78*0.038494340111</f>
        <v>29663.57877378766</v>
      </c>
      <c r="W78" s="15">
        <f>I78*0.049959268385</f>
        <v>38498.404932931015</v>
      </c>
      <c r="X78" s="14">
        <f>I78*0.002185679049</f>
        <v>1684.275206621915</v>
      </c>
      <c r="Y78" s="15">
        <f>I78*0.021010369789</f>
        <v>16190.503785888106</v>
      </c>
      <c r="Z78" s="14">
        <f>I78*0.043451006968</f>
        <v>33483.16568822931</v>
      </c>
      <c r="AA78" s="15">
        <f>I78*0.021621727981</f>
        <v>16661.61387207478</v>
      </c>
      <c r="AB78" s="14">
        <f>I78*0.00209418083</f>
        <v>1613.7670586931188</v>
      </c>
      <c r="AC78" s="15">
        <f>I78*0.038454418782</f>
        <v>29632.815563296681</v>
      </c>
      <c r="AD78" s="14">
        <f>I78*0.067801027597</f>
        <v>52247.19055497308</v>
      </c>
      <c r="AE78" s="15">
        <f>I78*0.012760851978</f>
        <v>9833.4595885663457</v>
      </c>
      <c r="AF78" s="14">
        <f>I78*0.072016026249</f>
        <v>55495.25102787574</v>
      </c>
      <c r="AG78" s="15">
        <f>I78*0.006184398003</f>
        <v>4765.6714416055984</v>
      </c>
      <c r="AH78" s="15">
        <f>I78*0.004366518238</f>
        <v>3364.820837208752</v>
      </c>
      <c r="AI78" s="11">
        <f>I78*0.019708146889</f>
        <v>15187.016222163333</v>
      </c>
      <c r="AJ78" s="14">
        <f>I78*0.026908215844</f>
        <v>20735.359485289271</v>
      </c>
      <c r="AK78" s="15">
        <f>I78*0.01836376993</f>
        <v>14151.04491547334</v>
      </c>
      <c r="AL78" s="14">
        <f>I78*0.036977198467</f>
        <v>28494.475717649602</v>
      </c>
      <c r="AM78" s="15">
        <f>I78*0.022275994495</f>
        <v>17165.788933164982</v>
      </c>
      <c r="AN78" s="14">
        <f>I78*0.000664145731</f>
        <v>511.78794472082973</v>
      </c>
      <c r="AO78" s="15">
        <f>I78*0.024723925078</f>
        <v>19052.154083787071</v>
      </c>
      <c r="AP78" s="14">
        <f>I78*0.026998574469</f>
        <v>20804.989466809922</v>
      </c>
      <c r="AQ78" s="15">
        <f>I78*0.028132809688</f>
        <v>21679.026420548907</v>
      </c>
      <c r="AR78" s="14">
        <f>I78*0.002541311729</f>
        <v>1958.3242742846876</v>
      </c>
      <c r="AS78" s="15">
        <f>I78*0.015416150467</f>
        <v>11879.621587167876</v>
      </c>
      <c r="AT78" s="14">
        <f>I78*0.001935482073</f>
        <v>1491.474455001324</v>
      </c>
      <c r="AU78" s="15">
        <f>I78*0.067950503019</f>
        <v>52362.37569498214</v>
      </c>
      <c r="AV78" s="14">
        <f>I78*0.021005084476</f>
        <v>16186.430945619444</v>
      </c>
      <c r="AW78" s="10">
        <f>0.03*E78</f>
        <v>38529.792546451659</v>
      </c>
      <c r="AX78" s="6"/>
      <c r="AY78"/>
      <c r="AZ78" s="1"/>
      <c r="BA78" s="1"/>
      <c r="BB78" s="1"/>
      <c r="BC78" s="1"/>
      <c r="BJ78" s="1"/>
    </row>
    <row r="79" spans="1:62" x14ac:dyDescent="0.25">
      <c r="A79" s="8"/>
      <c r="B79" s="17" t="s">
        <v>101</v>
      </c>
      <c r="C79" s="9">
        <v>5786667.622943663</v>
      </c>
      <c r="D79" s="59"/>
      <c r="E79" s="10">
        <f>0.5*C79</f>
        <v>2893333.8114718315</v>
      </c>
      <c r="F79" s="59">
        <f t="shared" si="195"/>
        <v>1157333.5245887327</v>
      </c>
      <c r="G79" s="10">
        <f t="shared" ref="G79:G100" si="197">0.3*C79</f>
        <v>1736000.2868830988</v>
      </c>
      <c r="H79" s="11">
        <f>0.07*G79</f>
        <v>121520.02008181693</v>
      </c>
      <c r="I79" s="12">
        <f t="shared" si="180"/>
        <v>1614480.2668012818</v>
      </c>
      <c r="J79" s="13">
        <f t="shared" si="188"/>
        <v>27122.519340815019</v>
      </c>
      <c r="K79" s="11">
        <f t="shared" ref="K79:K100" si="198">I79*0.040537116218</f>
        <v>65446.374206991204</v>
      </c>
      <c r="L79" s="14">
        <f t="shared" ref="L79:L100" si="199">I79*0.026283332826</f>
        <v>42433.922193347367</v>
      </c>
      <c r="M79" s="15">
        <f t="shared" ref="M79:M100" si="200">I79*0.036779545807</f>
        <v>59379.850927315325</v>
      </c>
      <c r="N79" s="16">
        <f t="shared" ref="N79:N100" si="201">I79*0.052042873123</f>
        <v>84022.191684726306</v>
      </c>
      <c r="O79" s="15">
        <f t="shared" ref="O79:O100" si="202">I79*0.0273939973</f>
        <v>44227.068069657595</v>
      </c>
      <c r="P79" s="14">
        <f t="shared" ref="P79:P100" si="203">I79*0.016113929261</f>
        <v>26015.620812516259</v>
      </c>
      <c r="Q79" s="15">
        <f t="shared" ref="Q79:Q98" si="204">I79*0.008369049504</f>
        <v>13511.665276091055</v>
      </c>
      <c r="R79" s="14">
        <f t="shared" ref="R79:R100" si="205">I79*0.035025701951</f>
        <v>56548.30463075266</v>
      </c>
      <c r="S79" s="15">
        <f t="shared" ref="S79:S100" si="206">I79*0.012353278939</f>
        <v>19944.125077307377</v>
      </c>
      <c r="T79" s="14">
        <f t="shared" ref="T79:T100" si="207">I79*0.019717572454</f>
        <v>31833.631636207527</v>
      </c>
      <c r="U79" s="15">
        <f t="shared" ref="U79:U100" si="208">I79*0.014582940317</f>
        <v>23543.869373737329</v>
      </c>
      <c r="V79" s="14">
        <f t="shared" ref="V79:V100" si="209">I79*0.038494340111</f>
        <v>62148.35249274657</v>
      </c>
      <c r="W79" s="15">
        <f t="shared" ref="W79:W100" si="210">I79*0.049959268385</f>
        <v>80658.252951411647</v>
      </c>
      <c r="X79" s="14">
        <f t="shared" ref="X79:X100" si="211">I79*0.002185679049</f>
        <v>3528.735694171492</v>
      </c>
      <c r="Y79" s="15">
        <f t="shared" ref="Y79:Y100" si="212">I79*0.021010369789</f>
        <v>33920.827422538314</v>
      </c>
      <c r="Z79" s="14">
        <f t="shared" ref="Z79:Z100" si="213">I79*0.043451006968</f>
        <v>70150.793322480997</v>
      </c>
      <c r="AA79" s="15">
        <f t="shared" ref="AA79:AA100" si="214">I79*0.021621727981</f>
        <v>34907.853159469618</v>
      </c>
      <c r="AB79" s="14">
        <f t="shared" ref="AB79:AB100" si="215">I79*0.00209418083</f>
        <v>3381.0136251485296</v>
      </c>
      <c r="AC79" s="15">
        <f t="shared" ref="AC79:AC100" si="216">I79*0.038454418782</f>
        <v>62083.900294851577</v>
      </c>
      <c r="AD79" s="14">
        <f t="shared" ref="AD79:AD100" si="217">I79*0.067801027597</f>
        <v>109463.42112420563</v>
      </c>
      <c r="AE79" s="15">
        <f t="shared" ref="AE79:AE100" si="218">I79*0.012760851978</f>
        <v>20602.143706053106</v>
      </c>
      <c r="AF79" s="14">
        <f t="shared" ref="AF79:AF100" si="219">I79*0.072016026249</f>
        <v>116268.45327245363</v>
      </c>
      <c r="AG79" s="15">
        <f t="shared" ref="AG79:AG100" si="220">I79*0.006184398003</f>
        <v>9984.5885378887542</v>
      </c>
      <c r="AH79" s="15">
        <f t="shared" ref="AH79:AH100" si="221">I79*0.004366518238</f>
        <v>7049.657529878903</v>
      </c>
      <c r="AI79" s="64">
        <f t="shared" ref="AI79:AI100" si="222">I79*0.019708146889</f>
        <v>31818.414247511573</v>
      </c>
      <c r="AJ79" s="14">
        <f t="shared" ref="AJ79:AJ100" si="223">I79*0.026908215844</f>
        <v>43442.783494967603</v>
      </c>
      <c r="AK79" s="15">
        <f t="shared" ref="AK79:AK100" si="224">I79*0.01836376993</f>
        <v>29647.944176063756</v>
      </c>
      <c r="AL79" s="14">
        <f t="shared" ref="AL79:AL100" si="225">I79*0.036977198467</f>
        <v>59698.957246566104</v>
      </c>
      <c r="AM79" s="15">
        <f t="shared" ref="AM79:AM100" si="226">I79*0.022275994495</f>
        <v>35964.153535551486</v>
      </c>
      <c r="AN79" s="14">
        <f t="shared" ref="AN79:AN100" si="227">I79*0.000664145731</f>
        <v>1072.2501769798123</v>
      </c>
      <c r="AO79" s="15">
        <f t="shared" ref="AO79:AO100" si="228">I79*0.024723925078</f>
        <v>39916.289156304345</v>
      </c>
      <c r="AP79" s="14">
        <f t="shared" ref="AP79:AP100" si="229">I79*0.026998574469</f>
        <v>43588.665711965397</v>
      </c>
      <c r="AQ79" s="15">
        <f t="shared" ref="AQ79:AQ100" si="230">I79*0.028132809688</f>
        <v>45419.866090951924</v>
      </c>
      <c r="AR79" s="14">
        <f t="shared" ref="AR79:AR100" si="231">I79*0.002541311729</f>
        <v>4102.8976382611472</v>
      </c>
      <c r="AS79" s="15">
        <f t="shared" ref="AS79:AS100" si="232">I79*0.015416150467</f>
        <v>24889.070719010866</v>
      </c>
      <c r="AT79" s="14">
        <f t="shared" ref="AT79:AT100" si="233">I79*0.001935482073</f>
        <v>3124.7976136061379</v>
      </c>
      <c r="AU79" s="15">
        <f t="shared" ref="AU79:AU100" si="234">I79*0.067950503019</f>
        <v>109704.74624339644</v>
      </c>
      <c r="AV79" s="14">
        <f t="shared" ref="AV79:AV100" si="235">I79*0.021005084476</f>
        <v>33912.294388995942</v>
      </c>
      <c r="AW79" s="10">
        <f t="shared" ref="AW79:AW100" si="236">0.03*E79</f>
        <v>86800.014344154944</v>
      </c>
      <c r="AY79"/>
      <c r="AZ79" s="1"/>
      <c r="BA79" s="1"/>
      <c r="BB79" s="1"/>
      <c r="BC79" s="1"/>
      <c r="BJ79" s="1"/>
    </row>
    <row r="80" spans="1:62" x14ac:dyDescent="0.25">
      <c r="A80" s="8"/>
      <c r="B80" s="17" t="s">
        <v>44</v>
      </c>
      <c r="C80" s="21">
        <v>1586535.5627413087</v>
      </c>
      <c r="D80" s="59"/>
      <c r="E80" s="10">
        <f t="shared" ref="E80" si="237">0.5*C80</f>
        <v>793267.78137065435</v>
      </c>
      <c r="F80" s="59">
        <f t="shared" si="195"/>
        <v>317307.11254826176</v>
      </c>
      <c r="G80" s="10">
        <f t="shared" si="197"/>
        <v>475960.66882239259</v>
      </c>
      <c r="H80" s="11"/>
      <c r="I80" s="12">
        <f t="shared" si="180"/>
        <v>475960.66882239259</v>
      </c>
      <c r="J80" s="13">
        <f t="shared" si="188"/>
        <v>7995.9183838024128</v>
      </c>
      <c r="K80" s="11">
        <f t="shared" si="198"/>
        <v>19294.072947250337</v>
      </c>
      <c r="L80" s="14">
        <f t="shared" si="199"/>
        <v>12509.832670744507</v>
      </c>
      <c r="M80" s="15">
        <f t="shared" si="200"/>
        <v>17505.617221283544</v>
      </c>
      <c r="N80" s="16">
        <f t="shared" si="201"/>
        <v>24770.360699061999</v>
      </c>
      <c r="O80" s="15">
        <f t="shared" si="202"/>
        <v>13038.465276626817</v>
      </c>
      <c r="P80" s="14">
        <f t="shared" si="203"/>
        <v>7669.5965484222816</v>
      </c>
      <c r="Q80" s="15">
        <f t="shared" si="204"/>
        <v>3983.3383993315529</v>
      </c>
      <c r="R80" s="14">
        <f t="shared" si="205"/>
        <v>16670.856526571741</v>
      </c>
      <c r="S80" s="15">
        <f t="shared" si="206"/>
        <v>5879.6749059560161</v>
      </c>
      <c r="T80" s="14">
        <f t="shared" si="207"/>
        <v>9384.7889727598249</v>
      </c>
      <c r="U80" s="15">
        <f t="shared" si="208"/>
        <v>6940.9060266763536</v>
      </c>
      <c r="V80" s="14">
        <f t="shared" si="209"/>
        <v>18321.791865108215</v>
      </c>
      <c r="W80" s="15">
        <f t="shared" si="210"/>
        <v>23778.646794402011</v>
      </c>
      <c r="X80" s="14">
        <f t="shared" si="211"/>
        <v>1040.2972619931311</v>
      </c>
      <c r="Y80" s="15">
        <f t="shared" si="212"/>
        <v>10000.109656978233</v>
      </c>
      <c r="Z80" s="14">
        <f t="shared" si="213"/>
        <v>20680.970337495721</v>
      </c>
      <c r="AA80" s="15">
        <f t="shared" si="214"/>
        <v>10291.092110932601</v>
      </c>
      <c r="AB80" s="14">
        <f t="shared" si="215"/>
        <v>996.74770848183323</v>
      </c>
      <c r="AC80" s="15">
        <f t="shared" si="216"/>
        <v>18302.790882657093</v>
      </c>
      <c r="AD80" s="14">
        <f t="shared" si="217"/>
        <v>32270.62244191362</v>
      </c>
      <c r="AE80" s="15">
        <f t="shared" si="218"/>
        <v>6073.6636421924313</v>
      </c>
      <c r="AF80" s="14">
        <f t="shared" si="219"/>
        <v>34276.796019405017</v>
      </c>
      <c r="AG80" s="15">
        <f t="shared" si="220"/>
        <v>2943.530209771749</v>
      </c>
      <c r="AH80" s="15">
        <f t="shared" si="221"/>
        <v>2078.2909409836552</v>
      </c>
      <c r="AI80" s="64">
        <f t="shared" si="222"/>
        <v>9380.302774538397</v>
      </c>
      <c r="AJ80" s="14">
        <f t="shared" si="223"/>
        <v>12807.252409927542</v>
      </c>
      <c r="AK80" s="15">
        <f t="shared" si="224"/>
        <v>8740.4322179833416</v>
      </c>
      <c r="AL80" s="14">
        <f t="shared" si="225"/>
        <v>17599.69211353167</v>
      </c>
      <c r="AM80" s="15">
        <f t="shared" si="226"/>
        <v>10602.497238524134</v>
      </c>
      <c r="AN80" s="14">
        <f t="shared" si="227"/>
        <v>316.10724632229682</v>
      </c>
      <c r="AO80" s="15">
        <f t="shared" si="228"/>
        <v>11767.615916039606</v>
      </c>
      <c r="AP80" s="14">
        <f t="shared" si="229"/>
        <v>12850.259561516412</v>
      </c>
      <c r="AQ80" s="15">
        <f t="shared" si="230"/>
        <v>13390.110914953566</v>
      </c>
      <c r="AR80" s="14">
        <f t="shared" si="231"/>
        <v>1209.564430221031</v>
      </c>
      <c r="AS80" s="15">
        <f t="shared" si="232"/>
        <v>7337.4812869399593</v>
      </c>
      <c r="AT80" s="14">
        <f t="shared" si="233"/>
        <v>921.21334195883094</v>
      </c>
      <c r="AU80" s="15">
        <f t="shared" si="234"/>
        <v>32341.76686374125</v>
      </c>
      <c r="AV80" s="14">
        <f t="shared" si="235"/>
        <v>9997.5940558678158</v>
      </c>
      <c r="AW80" s="10">
        <f t="shared" si="236"/>
        <v>23798.033441119631</v>
      </c>
      <c r="AY80"/>
      <c r="AZ80" s="1"/>
      <c r="BA80" s="1"/>
      <c r="BB80" s="1"/>
      <c r="BC80" s="1"/>
      <c r="BJ80" s="1"/>
    </row>
    <row r="81" spans="1:62" x14ac:dyDescent="0.25">
      <c r="A81" s="3" t="s">
        <v>73</v>
      </c>
      <c r="B81" s="4"/>
      <c r="C81" s="5">
        <f>SUM(C82:C84)</f>
        <v>9476544.089446377</v>
      </c>
      <c r="D81" s="5"/>
      <c r="E81" s="5">
        <f t="shared" ref="E81:AV81" si="238">SUM(E82:E84)</f>
        <v>4738272.0447231885</v>
      </c>
      <c r="F81" s="5">
        <f t="shared" si="238"/>
        <v>1895308.8178892755</v>
      </c>
      <c r="G81" s="5">
        <f t="shared" si="238"/>
        <v>2842963.2268339125</v>
      </c>
      <c r="H81" s="5">
        <f t="shared" si="238"/>
        <v>121520.02008181693</v>
      </c>
      <c r="I81" s="5">
        <f t="shared" si="238"/>
        <v>2721443.2067520963</v>
      </c>
      <c r="J81" s="5">
        <f t="shared" si="238"/>
        <v>45718.983085687076</v>
      </c>
      <c r="K81" s="5">
        <f t="shared" si="238"/>
        <v>110319.4595527963</v>
      </c>
      <c r="L81" s="5">
        <f t="shared" si="238"/>
        <v>71528.597570122074</v>
      </c>
      <c r="M81" s="5">
        <f t="shared" si="238"/>
        <v>100093.44508388769</v>
      </c>
      <c r="N81" s="5">
        <f t="shared" si="238"/>
        <v>141631.7235204496</v>
      </c>
      <c r="O81" s="5">
        <f t="shared" si="238"/>
        <v>74551.207857870249</v>
      </c>
      <c r="P81" s="5">
        <f t="shared" si="238"/>
        <v>43853.143321432268</v>
      </c>
      <c r="Q81" s="5">
        <f t="shared" si="238"/>
        <v>22775.892919632795</v>
      </c>
      <c r="R81" s="5">
        <f t="shared" si="238"/>
        <v>95320.458636272582</v>
      </c>
      <c r="S81" s="5">
        <f t="shared" si="238"/>
        <v>33618.747049655292</v>
      </c>
      <c r="T81" s="5">
        <f t="shared" si="238"/>
        <v>53660.253608580555</v>
      </c>
      <c r="U81" s="5">
        <f t="shared" si="238"/>
        <v>39686.643860170909</v>
      </c>
      <c r="V81" s="5">
        <f t="shared" si="238"/>
        <v>104760.16039348568</v>
      </c>
      <c r="W81" s="5">
        <f t="shared" si="238"/>
        <v>135961.31156066299</v>
      </c>
      <c r="X81" s="5">
        <f t="shared" si="238"/>
        <v>5948.201400041431</v>
      </c>
      <c r="Y81" s="5">
        <f t="shared" si="238"/>
        <v>57178.52813362352</v>
      </c>
      <c r="Z81" s="5">
        <f t="shared" si="238"/>
        <v>118249.44773960159</v>
      </c>
      <c r="AA81" s="5">
        <f t="shared" si="238"/>
        <v>58842.304732134158</v>
      </c>
      <c r="AB81" s="5">
        <f t="shared" si="238"/>
        <v>5699.1941935139657</v>
      </c>
      <c r="AC81" s="5">
        <f t="shared" si="238"/>
        <v>104651.5167638741</v>
      </c>
      <c r="AD81" s="5">
        <f t="shared" si="238"/>
        <v>184516.64596466703</v>
      </c>
      <c r="AE81" s="5">
        <f t="shared" si="238"/>
        <v>34727.933927897153</v>
      </c>
      <c r="AF81" s="5">
        <f t="shared" si="238"/>
        <v>195987.52541262165</v>
      </c>
      <c r="AG81" s="5">
        <f t="shared" si="238"/>
        <v>16830.487933115579</v>
      </c>
      <c r="AH81" s="5">
        <f t="shared" si="238"/>
        <v>11883.231395964232</v>
      </c>
      <c r="AI81" s="5">
        <f t="shared" si="238"/>
        <v>53634.602468741505</v>
      </c>
      <c r="AJ81" s="5">
        <f t="shared" si="238"/>
        <v>73229.181214472919</v>
      </c>
      <c r="AK81" s="5">
        <f t="shared" si="238"/>
        <v>49975.956926356914</v>
      </c>
      <c r="AL81" s="5">
        <f t="shared" si="238"/>
        <v>100631.34557274115</v>
      </c>
      <c r="AM81" s="5">
        <f t="shared" si="238"/>
        <v>60622.853892064835</v>
      </c>
      <c r="AN81" s="5">
        <f t="shared" si="238"/>
        <v>1807.4348879233548</v>
      </c>
      <c r="AO81" s="5">
        <f t="shared" si="238"/>
        <v>67284.757947770879</v>
      </c>
      <c r="AP81" s="5">
        <f t="shared" si="238"/>
        <v>73475.087080650628</v>
      </c>
      <c r="AQ81" s="5">
        <f t="shared" si="238"/>
        <v>76561.843812257153</v>
      </c>
      <c r="AR81" s="5">
        <f t="shared" si="238"/>
        <v>6916.0355411264745</v>
      </c>
      <c r="AS81" s="5">
        <f t="shared" si="238"/>
        <v>41954.177962685302</v>
      </c>
      <c r="AT81" s="5">
        <f t="shared" si="238"/>
        <v>5267.3045393563143</v>
      </c>
      <c r="AU81" s="5">
        <f t="shared" si="238"/>
        <v>184923.43483644535</v>
      </c>
      <c r="AV81" s="5">
        <f t="shared" si="238"/>
        <v>57164.144454464113</v>
      </c>
      <c r="AW81" s="5">
        <f>SUM(AW82:AW84)</f>
        <v>142148.16134169564</v>
      </c>
      <c r="AX81" s="6"/>
      <c r="AY81"/>
      <c r="AZ81" s="1"/>
      <c r="BA81" s="1"/>
      <c r="BB81" s="1"/>
      <c r="BC81" s="1"/>
      <c r="BJ81" s="1"/>
    </row>
    <row r="82" spans="1:62" x14ac:dyDescent="0.25">
      <c r="A82" s="8"/>
      <c r="B82" s="17" t="s">
        <v>102</v>
      </c>
      <c r="C82" s="21">
        <v>2103340.903761405</v>
      </c>
      <c r="D82" s="59"/>
      <c r="E82" s="10">
        <f>0.5*C82</f>
        <v>1051670.4518807025</v>
      </c>
      <c r="F82" s="59">
        <f>(C82*0.2)+D82</f>
        <v>420668.18075228104</v>
      </c>
      <c r="G82" s="10">
        <f>0.3*C82</f>
        <v>631002.27112842153</v>
      </c>
      <c r="H82" s="11"/>
      <c r="I82" s="12">
        <f>G82-H82</f>
        <v>631002.27112842153</v>
      </c>
      <c r="J82" s="13">
        <f>I82*0.016799535986</f>
        <v>10600.545361069648</v>
      </c>
      <c r="K82" s="11">
        <f>I82*0.040537116218</f>
        <v>25579.012398554769</v>
      </c>
      <c r="L82" s="14">
        <f>I82*0.026283332826</f>
        <v>16584.842706030195</v>
      </c>
      <c r="M82" s="15">
        <f>I82*0.036779545807</f>
        <v>23207.976935288811</v>
      </c>
      <c r="N82" s="16">
        <f>I82*0.052042873123</f>
        <v>32839.171136661287</v>
      </c>
      <c r="O82" s="15">
        <f>I82*0.0273939973</f>
        <v>17285.674511585847</v>
      </c>
      <c r="P82" s="14">
        <f>I82*0.016113929261</f>
        <v>10167.925960493727</v>
      </c>
      <c r="Q82" s="15">
        <f>I82*0.008369049504</f>
        <v>5280.8892442101896</v>
      </c>
      <c r="R82" s="14">
        <f>I82*0.035025701951</f>
        <v>22101.297478948185</v>
      </c>
      <c r="S82" s="15">
        <f>I82*0.012353278939</f>
        <v>7794.9470663918974</v>
      </c>
      <c r="T82" s="14">
        <f>I82*0.019717572454</f>
        <v>12441.832999613203</v>
      </c>
      <c r="U82" s="15">
        <f>I82*0.014582940317</f>
        <v>9201.8684597572228</v>
      </c>
      <c r="V82" s="14">
        <f>I82*0.038494340111</f>
        <v>24290.016035630895</v>
      </c>
      <c r="W82" s="15">
        <f>I82*0.049959268385</f>
        <v>31524.411814849347</v>
      </c>
      <c r="X82" s="14">
        <f>I82*0.002185679049</f>
        <v>1379.1684438768086</v>
      </c>
      <c r="Y82" s="15">
        <f>I82*0.021010369789</f>
        <v>13257.591054106975</v>
      </c>
      <c r="Z82" s="14">
        <f>I82*0.043451006968</f>
        <v>27417.684079624869</v>
      </c>
      <c r="AA82" s="15">
        <f>I82*0.021621727981</f>
        <v>13643.359461731941</v>
      </c>
      <c r="AB82" s="14">
        <f>I82*0.00209418083</f>
        <v>1321.4328598836028</v>
      </c>
      <c r="AC82" s="15">
        <f>I82*0.038454418782</f>
        <v>24264.825586365427</v>
      </c>
      <c r="AD82" s="14">
        <f>I82*0.067801027597</f>
        <v>42782.602398547788</v>
      </c>
      <c r="AE82" s="15">
        <f>I82*0.012760851978</f>
        <v>8052.1265796516109</v>
      </c>
      <c r="AF82" s="14">
        <f>I82*0.072016026249</f>
        <v>45442.276120763017</v>
      </c>
      <c r="AG82" s="15">
        <f>I82*0.006184398003</f>
        <v>3902.3691854550748</v>
      </c>
      <c r="AH82" s="15">
        <f>I82*0.004366518238</f>
        <v>2755.2829251016733</v>
      </c>
      <c r="AI82" s="11">
        <f>I82*0.019708146889</f>
        <v>12435.885446691536</v>
      </c>
      <c r="AJ82" s="14">
        <f>I82*0.026908215844</f>
        <v>16979.145309577776</v>
      </c>
      <c r="AK82" s="15">
        <f>I82*0.01836376993</f>
        <v>11587.580532309814</v>
      </c>
      <c r="AL82" s="14">
        <f>I82*0.036977198467</f>
        <v>23332.696212643386</v>
      </c>
      <c r="AM82" s="15">
        <f>I82*0.022275994495</f>
        <v>14056.203117989215</v>
      </c>
      <c r="AN82" s="14">
        <f>I82*0.000664145731</f>
        <v>419.07746462124572</v>
      </c>
      <c r="AO82" s="15">
        <f>I82*0.024723925078</f>
        <v>15600.852875426935</v>
      </c>
      <c r="AP82" s="14">
        <f>I82*0.026998574469</f>
        <v>17036.161807168817</v>
      </c>
      <c r="AQ82" s="15">
        <f>I82*0.028132809688</f>
        <v>17751.86680635166</v>
      </c>
      <c r="AR82" s="14">
        <f>I82*0.002541311729</f>
        <v>1603.5734726442959</v>
      </c>
      <c r="AS82" s="15">
        <f>I82*0.015416150467</f>
        <v>9727.625956734475</v>
      </c>
      <c r="AT82" s="14">
        <f>I82*0.001935482073</f>
        <v>1221.2935837913453</v>
      </c>
      <c r="AU82" s="15">
        <f>I82*0.067950503019</f>
        <v>42876.921729307665</v>
      </c>
      <c r="AV82" s="14">
        <f>I82*0.021005084476</f>
        <v>13254.256009600351</v>
      </c>
      <c r="AW82" s="10">
        <f>0.03*E82</f>
        <v>31550.113556421074</v>
      </c>
      <c r="AX82" s="6"/>
      <c r="AY82"/>
      <c r="AZ82" s="1"/>
      <c r="BA82" s="1"/>
      <c r="BB82" s="1"/>
      <c r="BC82" s="1"/>
      <c r="BJ82" s="1"/>
    </row>
    <row r="83" spans="1:62" x14ac:dyDescent="0.25">
      <c r="A83" s="8"/>
      <c r="B83" s="17" t="s">
        <v>101</v>
      </c>
      <c r="C83" s="9">
        <v>5786667.622943663</v>
      </c>
      <c r="D83" s="59"/>
      <c r="E83" s="10">
        <f>0.5*C83</f>
        <v>2893333.8114718315</v>
      </c>
      <c r="F83" s="59">
        <f t="shared" si="195"/>
        <v>1157333.5245887327</v>
      </c>
      <c r="G83" s="10">
        <f t="shared" si="197"/>
        <v>1736000.2868830988</v>
      </c>
      <c r="H83" s="11">
        <f>0.07*G83</f>
        <v>121520.02008181693</v>
      </c>
      <c r="I83" s="12">
        <f t="shared" si="180"/>
        <v>1614480.2668012818</v>
      </c>
      <c r="J83" s="13">
        <f t="shared" si="188"/>
        <v>27122.519340815019</v>
      </c>
      <c r="K83" s="11">
        <f t="shared" si="198"/>
        <v>65446.374206991204</v>
      </c>
      <c r="L83" s="14">
        <f t="shared" si="199"/>
        <v>42433.922193347367</v>
      </c>
      <c r="M83" s="15">
        <f t="shared" si="200"/>
        <v>59379.850927315325</v>
      </c>
      <c r="N83" s="16">
        <f t="shared" si="201"/>
        <v>84022.191684726306</v>
      </c>
      <c r="O83" s="15">
        <f t="shared" si="202"/>
        <v>44227.068069657595</v>
      </c>
      <c r="P83" s="14">
        <f t="shared" si="203"/>
        <v>26015.620812516259</v>
      </c>
      <c r="Q83" s="15">
        <f t="shared" si="204"/>
        <v>13511.665276091055</v>
      </c>
      <c r="R83" s="14">
        <f t="shared" si="205"/>
        <v>56548.30463075266</v>
      </c>
      <c r="S83" s="15">
        <f t="shared" si="206"/>
        <v>19944.125077307377</v>
      </c>
      <c r="T83" s="14">
        <f t="shared" si="207"/>
        <v>31833.631636207527</v>
      </c>
      <c r="U83" s="15">
        <f t="shared" si="208"/>
        <v>23543.869373737329</v>
      </c>
      <c r="V83" s="14">
        <f t="shared" si="209"/>
        <v>62148.35249274657</v>
      </c>
      <c r="W83" s="15">
        <f t="shared" si="210"/>
        <v>80658.252951411647</v>
      </c>
      <c r="X83" s="14">
        <f t="shared" si="211"/>
        <v>3528.735694171492</v>
      </c>
      <c r="Y83" s="15">
        <f t="shared" si="212"/>
        <v>33920.827422538314</v>
      </c>
      <c r="Z83" s="14">
        <f t="shared" si="213"/>
        <v>70150.793322480997</v>
      </c>
      <c r="AA83" s="15">
        <f t="shared" si="214"/>
        <v>34907.853159469618</v>
      </c>
      <c r="AB83" s="14">
        <f t="shared" si="215"/>
        <v>3381.0136251485296</v>
      </c>
      <c r="AC83" s="15">
        <f t="shared" si="216"/>
        <v>62083.900294851577</v>
      </c>
      <c r="AD83" s="14">
        <f t="shared" si="217"/>
        <v>109463.42112420563</v>
      </c>
      <c r="AE83" s="15">
        <f t="shared" si="218"/>
        <v>20602.143706053106</v>
      </c>
      <c r="AF83" s="14">
        <f t="shared" si="219"/>
        <v>116268.45327245363</v>
      </c>
      <c r="AG83" s="15">
        <f t="shared" si="220"/>
        <v>9984.5885378887542</v>
      </c>
      <c r="AH83" s="15">
        <f t="shared" si="221"/>
        <v>7049.657529878903</v>
      </c>
      <c r="AI83" s="64">
        <f t="shared" si="222"/>
        <v>31818.414247511573</v>
      </c>
      <c r="AJ83" s="14">
        <f t="shared" si="223"/>
        <v>43442.783494967603</v>
      </c>
      <c r="AK83" s="15">
        <f t="shared" si="224"/>
        <v>29647.944176063756</v>
      </c>
      <c r="AL83" s="14">
        <f t="shared" si="225"/>
        <v>59698.957246566104</v>
      </c>
      <c r="AM83" s="15">
        <f t="shared" si="226"/>
        <v>35964.153535551486</v>
      </c>
      <c r="AN83" s="14">
        <f t="shared" si="227"/>
        <v>1072.2501769798123</v>
      </c>
      <c r="AO83" s="15">
        <f t="shared" si="228"/>
        <v>39916.289156304345</v>
      </c>
      <c r="AP83" s="14">
        <f t="shared" si="229"/>
        <v>43588.665711965397</v>
      </c>
      <c r="AQ83" s="15">
        <f t="shared" si="230"/>
        <v>45419.866090951924</v>
      </c>
      <c r="AR83" s="14">
        <f t="shared" si="231"/>
        <v>4102.8976382611472</v>
      </c>
      <c r="AS83" s="15">
        <f t="shared" si="232"/>
        <v>24889.070719010866</v>
      </c>
      <c r="AT83" s="14">
        <f t="shared" si="233"/>
        <v>3124.7976136061379</v>
      </c>
      <c r="AU83" s="15">
        <f t="shared" si="234"/>
        <v>109704.74624339644</v>
      </c>
      <c r="AV83" s="14">
        <f t="shared" si="235"/>
        <v>33912.294388995942</v>
      </c>
      <c r="AW83" s="10">
        <f t="shared" si="236"/>
        <v>86800.014344154944</v>
      </c>
      <c r="AY83"/>
      <c r="AZ83" s="1"/>
      <c r="BA83" s="1"/>
      <c r="BB83" s="1"/>
      <c r="BC83" s="1"/>
      <c r="BJ83" s="1"/>
    </row>
    <row r="84" spans="1:62" x14ac:dyDescent="0.25">
      <c r="A84" s="8"/>
      <c r="B84" s="17" t="s">
        <v>44</v>
      </c>
      <c r="C84" s="21">
        <v>1586535.5627413087</v>
      </c>
      <c r="D84" s="59"/>
      <c r="E84" s="10">
        <f t="shared" ref="E84" si="239">0.5*C84</f>
        <v>793267.78137065435</v>
      </c>
      <c r="F84" s="59">
        <f t="shared" si="195"/>
        <v>317307.11254826176</v>
      </c>
      <c r="G84" s="10">
        <f t="shared" si="197"/>
        <v>475960.66882239259</v>
      </c>
      <c r="H84" s="11"/>
      <c r="I84" s="12">
        <f t="shared" si="180"/>
        <v>475960.66882239259</v>
      </c>
      <c r="J84" s="13">
        <f t="shared" si="188"/>
        <v>7995.9183838024128</v>
      </c>
      <c r="K84" s="11">
        <f t="shared" si="198"/>
        <v>19294.072947250337</v>
      </c>
      <c r="L84" s="14">
        <f t="shared" si="199"/>
        <v>12509.832670744507</v>
      </c>
      <c r="M84" s="15">
        <f t="shared" si="200"/>
        <v>17505.617221283544</v>
      </c>
      <c r="N84" s="16">
        <f t="shared" si="201"/>
        <v>24770.360699061999</v>
      </c>
      <c r="O84" s="15">
        <f t="shared" si="202"/>
        <v>13038.465276626817</v>
      </c>
      <c r="P84" s="14">
        <f t="shared" si="203"/>
        <v>7669.5965484222816</v>
      </c>
      <c r="Q84" s="15">
        <f t="shared" si="204"/>
        <v>3983.3383993315529</v>
      </c>
      <c r="R84" s="14">
        <f t="shared" si="205"/>
        <v>16670.856526571741</v>
      </c>
      <c r="S84" s="15">
        <f t="shared" si="206"/>
        <v>5879.6749059560161</v>
      </c>
      <c r="T84" s="14">
        <f t="shared" si="207"/>
        <v>9384.7889727598249</v>
      </c>
      <c r="U84" s="15">
        <f t="shared" si="208"/>
        <v>6940.9060266763536</v>
      </c>
      <c r="V84" s="14">
        <f t="shared" si="209"/>
        <v>18321.791865108215</v>
      </c>
      <c r="W84" s="15">
        <f t="shared" si="210"/>
        <v>23778.646794402011</v>
      </c>
      <c r="X84" s="14">
        <f t="shared" si="211"/>
        <v>1040.2972619931311</v>
      </c>
      <c r="Y84" s="15">
        <f t="shared" si="212"/>
        <v>10000.109656978233</v>
      </c>
      <c r="Z84" s="14">
        <f t="shared" si="213"/>
        <v>20680.970337495721</v>
      </c>
      <c r="AA84" s="15">
        <f t="shared" si="214"/>
        <v>10291.092110932601</v>
      </c>
      <c r="AB84" s="14">
        <f t="shared" si="215"/>
        <v>996.74770848183323</v>
      </c>
      <c r="AC84" s="15">
        <f t="shared" si="216"/>
        <v>18302.790882657093</v>
      </c>
      <c r="AD84" s="14">
        <f t="shared" si="217"/>
        <v>32270.62244191362</v>
      </c>
      <c r="AE84" s="15">
        <f t="shared" si="218"/>
        <v>6073.6636421924313</v>
      </c>
      <c r="AF84" s="14">
        <f t="shared" si="219"/>
        <v>34276.796019405017</v>
      </c>
      <c r="AG84" s="15">
        <f t="shared" si="220"/>
        <v>2943.530209771749</v>
      </c>
      <c r="AH84" s="15">
        <f t="shared" si="221"/>
        <v>2078.2909409836552</v>
      </c>
      <c r="AI84" s="64">
        <f t="shared" si="222"/>
        <v>9380.302774538397</v>
      </c>
      <c r="AJ84" s="14">
        <f t="shared" si="223"/>
        <v>12807.252409927542</v>
      </c>
      <c r="AK84" s="15">
        <f t="shared" si="224"/>
        <v>8740.4322179833416</v>
      </c>
      <c r="AL84" s="14">
        <f t="shared" si="225"/>
        <v>17599.69211353167</v>
      </c>
      <c r="AM84" s="15">
        <f t="shared" si="226"/>
        <v>10602.497238524134</v>
      </c>
      <c r="AN84" s="14">
        <f t="shared" si="227"/>
        <v>316.10724632229682</v>
      </c>
      <c r="AO84" s="15">
        <f t="shared" si="228"/>
        <v>11767.615916039606</v>
      </c>
      <c r="AP84" s="14">
        <f t="shared" si="229"/>
        <v>12850.259561516412</v>
      </c>
      <c r="AQ84" s="15">
        <f t="shared" si="230"/>
        <v>13390.110914953566</v>
      </c>
      <c r="AR84" s="14">
        <f t="shared" si="231"/>
        <v>1209.564430221031</v>
      </c>
      <c r="AS84" s="15">
        <f t="shared" si="232"/>
        <v>7337.4812869399593</v>
      </c>
      <c r="AT84" s="14">
        <f t="shared" si="233"/>
        <v>921.21334195883094</v>
      </c>
      <c r="AU84" s="15">
        <f t="shared" si="234"/>
        <v>32341.76686374125</v>
      </c>
      <c r="AV84" s="14">
        <f t="shared" si="235"/>
        <v>9997.5940558678158</v>
      </c>
      <c r="AW84" s="10">
        <f t="shared" si="236"/>
        <v>23798.033441119631</v>
      </c>
      <c r="AY84"/>
      <c r="AZ84" s="1"/>
      <c r="BA84" s="1"/>
      <c r="BB84" s="1"/>
      <c r="BC84" s="1"/>
      <c r="BJ84" s="1"/>
    </row>
    <row r="85" spans="1:62" x14ac:dyDescent="0.25">
      <c r="A85" s="3" t="s">
        <v>74</v>
      </c>
      <c r="B85" s="4"/>
      <c r="C85" s="5">
        <f>SUM(C86:C88)</f>
        <v>9476544.089446377</v>
      </c>
      <c r="D85" s="5"/>
      <c r="E85" s="5">
        <f t="shared" ref="E85:AW85" si="240">SUM(E86:E88)</f>
        <v>4738272.0447231885</v>
      </c>
      <c r="F85" s="5">
        <f t="shared" si="240"/>
        <v>1895308.817889276</v>
      </c>
      <c r="G85" s="5">
        <f t="shared" si="240"/>
        <v>2842963.226833913</v>
      </c>
      <c r="H85" s="5">
        <f t="shared" si="240"/>
        <v>121520.02008181693</v>
      </c>
      <c r="I85" s="5">
        <f t="shared" si="240"/>
        <v>2721443.2067520963</v>
      </c>
      <c r="J85" s="5">
        <f t="shared" si="240"/>
        <v>45718.983085687083</v>
      </c>
      <c r="K85" s="5">
        <f t="shared" si="240"/>
        <v>110319.45955279632</v>
      </c>
      <c r="L85" s="5">
        <f t="shared" si="240"/>
        <v>71528.597570122089</v>
      </c>
      <c r="M85" s="5">
        <f t="shared" si="240"/>
        <v>100093.44508388769</v>
      </c>
      <c r="N85" s="5">
        <f t="shared" si="240"/>
        <v>141631.72352044962</v>
      </c>
      <c r="O85" s="5">
        <f t="shared" si="240"/>
        <v>74551.207857870264</v>
      </c>
      <c r="P85" s="5">
        <f t="shared" si="240"/>
        <v>43853.143321432275</v>
      </c>
      <c r="Q85" s="5">
        <f t="shared" si="240"/>
        <v>22775.892919632799</v>
      </c>
      <c r="R85" s="5">
        <f t="shared" si="240"/>
        <v>95320.458636272611</v>
      </c>
      <c r="S85" s="5">
        <f t="shared" si="240"/>
        <v>33618.7470496553</v>
      </c>
      <c r="T85" s="5">
        <f t="shared" si="240"/>
        <v>53660.253608580562</v>
      </c>
      <c r="U85" s="5">
        <f t="shared" si="240"/>
        <v>39686.643860170916</v>
      </c>
      <c r="V85" s="5">
        <f t="shared" si="240"/>
        <v>104760.1603934857</v>
      </c>
      <c r="W85" s="5">
        <f t="shared" si="240"/>
        <v>135961.31156066302</v>
      </c>
      <c r="X85" s="5">
        <f t="shared" si="240"/>
        <v>5948.2014000414329</v>
      </c>
      <c r="Y85" s="5">
        <f t="shared" si="240"/>
        <v>57178.528133623528</v>
      </c>
      <c r="Z85" s="5">
        <f t="shared" si="240"/>
        <v>118249.4477396016</v>
      </c>
      <c r="AA85" s="5">
        <f t="shared" si="240"/>
        <v>58842.304732134166</v>
      </c>
      <c r="AB85" s="5">
        <f t="shared" si="240"/>
        <v>5699.1941935139666</v>
      </c>
      <c r="AC85" s="5">
        <f t="shared" si="240"/>
        <v>104651.51676387411</v>
      </c>
      <c r="AD85" s="5">
        <f t="shared" si="240"/>
        <v>184516.64596466706</v>
      </c>
      <c r="AE85" s="5">
        <f t="shared" si="240"/>
        <v>34727.933927897153</v>
      </c>
      <c r="AF85" s="5">
        <f t="shared" si="240"/>
        <v>195987.52541262168</v>
      </c>
      <c r="AG85" s="5">
        <f t="shared" si="240"/>
        <v>16830.487933115579</v>
      </c>
      <c r="AH85" s="5">
        <f t="shared" si="240"/>
        <v>11883.231395964234</v>
      </c>
      <c r="AI85" s="5">
        <f t="shared" si="240"/>
        <v>53634.602468741512</v>
      </c>
      <c r="AJ85" s="5">
        <f t="shared" si="240"/>
        <v>73229.181214472934</v>
      </c>
      <c r="AK85" s="5">
        <f t="shared" si="240"/>
        <v>49975.956926356921</v>
      </c>
      <c r="AL85" s="5">
        <f t="shared" si="240"/>
        <v>100631.34557274116</v>
      </c>
      <c r="AM85" s="5">
        <f t="shared" si="240"/>
        <v>60622.853892064843</v>
      </c>
      <c r="AN85" s="5">
        <f t="shared" si="240"/>
        <v>1807.4348879233553</v>
      </c>
      <c r="AO85" s="5">
        <f t="shared" si="240"/>
        <v>67284.757947770893</v>
      </c>
      <c r="AP85" s="5">
        <f t="shared" si="240"/>
        <v>73475.087080650628</v>
      </c>
      <c r="AQ85" s="5">
        <f t="shared" si="240"/>
        <v>76561.843812257168</v>
      </c>
      <c r="AR85" s="5">
        <f t="shared" si="240"/>
        <v>6916.0355411264754</v>
      </c>
      <c r="AS85" s="5">
        <f t="shared" si="240"/>
        <v>41954.177962685309</v>
      </c>
      <c r="AT85" s="5">
        <f t="shared" si="240"/>
        <v>5267.3045393563152</v>
      </c>
      <c r="AU85" s="5">
        <f t="shared" si="240"/>
        <v>184923.43483644538</v>
      </c>
      <c r="AV85" s="5">
        <f t="shared" si="240"/>
        <v>57164.14445446412</v>
      </c>
      <c r="AW85" s="5">
        <f t="shared" si="240"/>
        <v>142148.16134169567</v>
      </c>
      <c r="AX85" s="6"/>
      <c r="AY85"/>
      <c r="AZ85" s="1"/>
      <c r="BA85" s="1"/>
      <c r="BB85" s="1"/>
      <c r="BC85" s="1"/>
      <c r="BJ85" s="1"/>
    </row>
    <row r="86" spans="1:62" x14ac:dyDescent="0.25">
      <c r="A86" s="8"/>
      <c r="B86" s="17" t="s">
        <v>102</v>
      </c>
      <c r="C86" s="21">
        <v>2103340.903761405</v>
      </c>
      <c r="D86" s="59"/>
      <c r="E86" s="10">
        <f>0.5*C86</f>
        <v>1051670.4518807025</v>
      </c>
      <c r="F86" s="59">
        <f>(C86*0.2)+D86</f>
        <v>420668.18075228104</v>
      </c>
      <c r="G86" s="10">
        <f>0.3*C86</f>
        <v>631002.27112842153</v>
      </c>
      <c r="H86" s="11"/>
      <c r="I86" s="12">
        <f>G86-H86</f>
        <v>631002.27112842153</v>
      </c>
      <c r="J86" s="13">
        <f>I86*0.016799535986</f>
        <v>10600.545361069648</v>
      </c>
      <c r="K86" s="11">
        <f>I86*0.040537116218</f>
        <v>25579.012398554769</v>
      </c>
      <c r="L86" s="14">
        <f>I86*0.026283332826</f>
        <v>16584.842706030195</v>
      </c>
      <c r="M86" s="15">
        <f>I86*0.036779545807</f>
        <v>23207.976935288811</v>
      </c>
      <c r="N86" s="16">
        <f>I86*0.052042873123</f>
        <v>32839.171136661287</v>
      </c>
      <c r="O86" s="15">
        <f>I86*0.0273939973</f>
        <v>17285.674511585847</v>
      </c>
      <c r="P86" s="14">
        <f>I86*0.016113929261</f>
        <v>10167.925960493727</v>
      </c>
      <c r="Q86" s="15">
        <f>I86*0.008369049504</f>
        <v>5280.8892442101896</v>
      </c>
      <c r="R86" s="14">
        <f>I86*0.035025701951</f>
        <v>22101.297478948185</v>
      </c>
      <c r="S86" s="15">
        <f>I86*0.012353278939</f>
        <v>7794.9470663918974</v>
      </c>
      <c r="T86" s="14">
        <f>I86*0.019717572454</f>
        <v>12441.832999613203</v>
      </c>
      <c r="U86" s="15">
        <f>I86*0.014582940317</f>
        <v>9201.8684597572228</v>
      </c>
      <c r="V86" s="14">
        <f>I86*0.038494340111</f>
        <v>24290.016035630895</v>
      </c>
      <c r="W86" s="15">
        <f>I86*0.049959268385</f>
        <v>31524.411814849347</v>
      </c>
      <c r="X86" s="14">
        <f>I86*0.002185679049</f>
        <v>1379.1684438768086</v>
      </c>
      <c r="Y86" s="15">
        <f>I86*0.021010369789</f>
        <v>13257.591054106975</v>
      </c>
      <c r="Z86" s="14">
        <f>I86*0.043451006968</f>
        <v>27417.684079624869</v>
      </c>
      <c r="AA86" s="15">
        <f>I86*0.021621727981</f>
        <v>13643.359461731941</v>
      </c>
      <c r="AB86" s="14">
        <f>I86*0.00209418083</f>
        <v>1321.4328598836028</v>
      </c>
      <c r="AC86" s="15">
        <f>I86*0.038454418782</f>
        <v>24264.825586365427</v>
      </c>
      <c r="AD86" s="14">
        <f>I86*0.067801027597</f>
        <v>42782.602398547788</v>
      </c>
      <c r="AE86" s="15">
        <f>I86*0.012760851978</f>
        <v>8052.1265796516109</v>
      </c>
      <c r="AF86" s="14">
        <f>I86*0.072016026249</f>
        <v>45442.276120763017</v>
      </c>
      <c r="AG86" s="15">
        <f>I86*0.006184398003</f>
        <v>3902.3691854550748</v>
      </c>
      <c r="AH86" s="15">
        <f>I86*0.004366518238</f>
        <v>2755.2829251016733</v>
      </c>
      <c r="AI86" s="11">
        <f>I86*0.019708146889</f>
        <v>12435.885446691536</v>
      </c>
      <c r="AJ86" s="14">
        <f>I86*0.026908215844</f>
        <v>16979.145309577776</v>
      </c>
      <c r="AK86" s="15">
        <f>I86*0.01836376993</f>
        <v>11587.580532309814</v>
      </c>
      <c r="AL86" s="14">
        <f>I86*0.036977198467</f>
        <v>23332.696212643386</v>
      </c>
      <c r="AM86" s="15">
        <f>I86*0.022275994495</f>
        <v>14056.203117989215</v>
      </c>
      <c r="AN86" s="14">
        <f>I86*0.000664145731</f>
        <v>419.07746462124572</v>
      </c>
      <c r="AO86" s="15">
        <f>I86*0.024723925078</f>
        <v>15600.852875426935</v>
      </c>
      <c r="AP86" s="14">
        <f>I86*0.026998574469</f>
        <v>17036.161807168817</v>
      </c>
      <c r="AQ86" s="15">
        <f>I86*0.028132809688</f>
        <v>17751.86680635166</v>
      </c>
      <c r="AR86" s="14">
        <f>I86*0.002541311729</f>
        <v>1603.5734726442959</v>
      </c>
      <c r="AS86" s="15">
        <f>I86*0.015416150467</f>
        <v>9727.625956734475</v>
      </c>
      <c r="AT86" s="14">
        <f>I86*0.001935482073</f>
        <v>1221.2935837913453</v>
      </c>
      <c r="AU86" s="15">
        <f>I86*0.067950503019</f>
        <v>42876.921729307665</v>
      </c>
      <c r="AV86" s="14">
        <f>I86*0.021005084476</f>
        <v>13254.256009600351</v>
      </c>
      <c r="AW86" s="10">
        <f>0.03*E86</f>
        <v>31550.113556421074</v>
      </c>
      <c r="AY86"/>
      <c r="AZ86" s="1"/>
      <c r="BA86" s="1"/>
      <c r="BB86" s="1"/>
      <c r="BC86" s="1"/>
      <c r="BJ86" s="1"/>
    </row>
    <row r="87" spans="1:62" x14ac:dyDescent="0.25">
      <c r="A87" s="8"/>
      <c r="B87" s="17" t="s">
        <v>101</v>
      </c>
      <c r="C87" s="9">
        <v>5786667.622943663</v>
      </c>
      <c r="D87" s="59"/>
      <c r="E87" s="10">
        <f>0.5*C87</f>
        <v>2893333.8114718315</v>
      </c>
      <c r="F87" s="59">
        <f t="shared" si="195"/>
        <v>1157333.5245887327</v>
      </c>
      <c r="G87" s="10">
        <f t="shared" si="197"/>
        <v>1736000.2868830988</v>
      </c>
      <c r="H87" s="11">
        <f>0.07*G87</f>
        <v>121520.02008181693</v>
      </c>
      <c r="I87" s="12">
        <f t="shared" ref="I87:I100" si="241">G87-H87</f>
        <v>1614480.2668012818</v>
      </c>
      <c r="J87" s="13">
        <f t="shared" ref="J87:J98" si="242">I87*0.016799535986</f>
        <v>27122.519340815019</v>
      </c>
      <c r="K87" s="11">
        <f t="shared" si="198"/>
        <v>65446.374206991204</v>
      </c>
      <c r="L87" s="14">
        <f t="shared" si="199"/>
        <v>42433.922193347367</v>
      </c>
      <c r="M87" s="15">
        <f t="shared" si="200"/>
        <v>59379.850927315325</v>
      </c>
      <c r="N87" s="16">
        <f t="shared" si="201"/>
        <v>84022.191684726306</v>
      </c>
      <c r="O87" s="15">
        <f t="shared" si="202"/>
        <v>44227.068069657595</v>
      </c>
      <c r="P87" s="14">
        <f t="shared" si="203"/>
        <v>26015.620812516259</v>
      </c>
      <c r="Q87" s="15">
        <f t="shared" si="204"/>
        <v>13511.665276091055</v>
      </c>
      <c r="R87" s="14">
        <f t="shared" si="205"/>
        <v>56548.30463075266</v>
      </c>
      <c r="S87" s="15">
        <f t="shared" si="206"/>
        <v>19944.125077307377</v>
      </c>
      <c r="T87" s="14">
        <f t="shared" si="207"/>
        <v>31833.631636207527</v>
      </c>
      <c r="U87" s="15">
        <f t="shared" si="208"/>
        <v>23543.869373737329</v>
      </c>
      <c r="V87" s="14">
        <f t="shared" si="209"/>
        <v>62148.35249274657</v>
      </c>
      <c r="W87" s="15">
        <f t="shared" si="210"/>
        <v>80658.252951411647</v>
      </c>
      <c r="X87" s="14">
        <f t="shared" si="211"/>
        <v>3528.735694171492</v>
      </c>
      <c r="Y87" s="15">
        <f t="shared" si="212"/>
        <v>33920.827422538314</v>
      </c>
      <c r="Z87" s="14">
        <f t="shared" si="213"/>
        <v>70150.793322480997</v>
      </c>
      <c r="AA87" s="15">
        <f t="shared" si="214"/>
        <v>34907.853159469618</v>
      </c>
      <c r="AB87" s="14">
        <f t="shared" si="215"/>
        <v>3381.0136251485296</v>
      </c>
      <c r="AC87" s="15">
        <f t="shared" si="216"/>
        <v>62083.900294851577</v>
      </c>
      <c r="AD87" s="14">
        <f t="shared" si="217"/>
        <v>109463.42112420563</v>
      </c>
      <c r="AE87" s="15">
        <f t="shared" si="218"/>
        <v>20602.143706053106</v>
      </c>
      <c r="AF87" s="14">
        <f t="shared" si="219"/>
        <v>116268.45327245363</v>
      </c>
      <c r="AG87" s="15">
        <f t="shared" si="220"/>
        <v>9984.5885378887542</v>
      </c>
      <c r="AH87" s="15">
        <f t="shared" si="221"/>
        <v>7049.657529878903</v>
      </c>
      <c r="AI87" s="64">
        <f t="shared" si="222"/>
        <v>31818.414247511573</v>
      </c>
      <c r="AJ87" s="14">
        <f t="shared" si="223"/>
        <v>43442.783494967603</v>
      </c>
      <c r="AK87" s="15">
        <f t="shared" si="224"/>
        <v>29647.944176063756</v>
      </c>
      <c r="AL87" s="14">
        <f t="shared" si="225"/>
        <v>59698.957246566104</v>
      </c>
      <c r="AM87" s="15">
        <f t="shared" si="226"/>
        <v>35964.153535551486</v>
      </c>
      <c r="AN87" s="14">
        <f t="shared" si="227"/>
        <v>1072.2501769798123</v>
      </c>
      <c r="AO87" s="15">
        <f t="shared" si="228"/>
        <v>39916.289156304345</v>
      </c>
      <c r="AP87" s="14">
        <f t="shared" si="229"/>
        <v>43588.665711965397</v>
      </c>
      <c r="AQ87" s="15">
        <f t="shared" si="230"/>
        <v>45419.866090951924</v>
      </c>
      <c r="AR87" s="14">
        <f t="shared" si="231"/>
        <v>4102.8976382611472</v>
      </c>
      <c r="AS87" s="15">
        <f t="shared" si="232"/>
        <v>24889.070719010866</v>
      </c>
      <c r="AT87" s="14">
        <f t="shared" si="233"/>
        <v>3124.7976136061379</v>
      </c>
      <c r="AU87" s="15">
        <f t="shared" si="234"/>
        <v>109704.74624339644</v>
      </c>
      <c r="AV87" s="14">
        <f t="shared" si="235"/>
        <v>33912.294388995942</v>
      </c>
      <c r="AW87" s="10">
        <f t="shared" si="236"/>
        <v>86800.014344154944</v>
      </c>
      <c r="AY87"/>
      <c r="AZ87" s="1"/>
      <c r="BA87" s="1"/>
      <c r="BB87" s="1"/>
      <c r="BC87" s="1"/>
      <c r="BJ87" s="1"/>
    </row>
    <row r="88" spans="1:62" x14ac:dyDescent="0.25">
      <c r="A88" s="8"/>
      <c r="B88" s="17" t="s">
        <v>44</v>
      </c>
      <c r="C88" s="21">
        <v>1586535.5627413101</v>
      </c>
      <c r="D88" s="59"/>
      <c r="E88" s="10">
        <f t="shared" ref="E88" si="243">0.5*C88</f>
        <v>793267.78137065505</v>
      </c>
      <c r="F88" s="59">
        <f t="shared" si="195"/>
        <v>317307.11254826206</v>
      </c>
      <c r="G88" s="10">
        <f t="shared" si="197"/>
        <v>475960.668822393</v>
      </c>
      <c r="H88" s="11"/>
      <c r="I88" s="12">
        <f t="shared" si="241"/>
        <v>475960.668822393</v>
      </c>
      <c r="J88" s="13">
        <f t="shared" si="242"/>
        <v>7995.9183838024201</v>
      </c>
      <c r="K88" s="11">
        <f t="shared" si="198"/>
        <v>19294.072947250352</v>
      </c>
      <c r="L88" s="14">
        <f t="shared" si="199"/>
        <v>12509.832670744518</v>
      </c>
      <c r="M88" s="15">
        <f t="shared" si="200"/>
        <v>17505.617221283559</v>
      </c>
      <c r="N88" s="16">
        <f t="shared" si="201"/>
        <v>24770.360699062021</v>
      </c>
      <c r="O88" s="15">
        <f t="shared" si="202"/>
        <v>13038.465276626828</v>
      </c>
      <c r="P88" s="14">
        <f t="shared" si="203"/>
        <v>7669.5965484222879</v>
      </c>
      <c r="Q88" s="15">
        <f t="shared" si="204"/>
        <v>3983.338399331556</v>
      </c>
      <c r="R88" s="14">
        <f t="shared" si="205"/>
        <v>16670.856526571755</v>
      </c>
      <c r="S88" s="15">
        <f t="shared" si="206"/>
        <v>5879.6749059560216</v>
      </c>
      <c r="T88" s="14">
        <f t="shared" si="207"/>
        <v>9384.7889727598322</v>
      </c>
      <c r="U88" s="15">
        <f t="shared" si="208"/>
        <v>6940.9060266763599</v>
      </c>
      <c r="V88" s="14">
        <f t="shared" si="209"/>
        <v>18321.791865108233</v>
      </c>
      <c r="W88" s="15">
        <f t="shared" si="210"/>
        <v>23778.646794402033</v>
      </c>
      <c r="X88" s="14">
        <f t="shared" si="211"/>
        <v>1040.297261993132</v>
      </c>
      <c r="Y88" s="15">
        <f t="shared" si="212"/>
        <v>10000.10965697824</v>
      </c>
      <c r="Z88" s="14">
        <f t="shared" si="213"/>
        <v>20680.970337495739</v>
      </c>
      <c r="AA88" s="15">
        <f t="shared" si="214"/>
        <v>10291.092110932608</v>
      </c>
      <c r="AB88" s="14">
        <f t="shared" si="215"/>
        <v>996.74770848183402</v>
      </c>
      <c r="AC88" s="15">
        <f t="shared" si="216"/>
        <v>18302.790882657111</v>
      </c>
      <c r="AD88" s="14">
        <f t="shared" si="217"/>
        <v>32270.622441913649</v>
      </c>
      <c r="AE88" s="15">
        <f t="shared" si="218"/>
        <v>6073.6636421924368</v>
      </c>
      <c r="AF88" s="14">
        <f t="shared" si="219"/>
        <v>34276.796019405047</v>
      </c>
      <c r="AG88" s="15">
        <f t="shared" si="220"/>
        <v>2943.5302097717517</v>
      </c>
      <c r="AH88" s="15">
        <f t="shared" si="221"/>
        <v>2078.290940983657</v>
      </c>
      <c r="AI88" s="64">
        <f t="shared" si="222"/>
        <v>9380.3027745384043</v>
      </c>
      <c r="AJ88" s="14">
        <f t="shared" si="223"/>
        <v>12807.252409927552</v>
      </c>
      <c r="AK88" s="15">
        <f t="shared" si="224"/>
        <v>8740.4322179833489</v>
      </c>
      <c r="AL88" s="14">
        <f t="shared" si="225"/>
        <v>17599.692113531684</v>
      </c>
      <c r="AM88" s="15">
        <f t="shared" si="226"/>
        <v>10602.497238524144</v>
      </c>
      <c r="AN88" s="14">
        <f t="shared" si="227"/>
        <v>316.1072463222971</v>
      </c>
      <c r="AO88" s="15">
        <f t="shared" si="228"/>
        <v>11767.615916039615</v>
      </c>
      <c r="AP88" s="14">
        <f t="shared" si="229"/>
        <v>12850.259561516423</v>
      </c>
      <c r="AQ88" s="15">
        <f t="shared" si="230"/>
        <v>13390.110914953577</v>
      </c>
      <c r="AR88" s="14">
        <f t="shared" si="231"/>
        <v>1209.5644302210321</v>
      </c>
      <c r="AS88" s="15">
        <f t="shared" si="232"/>
        <v>7337.4812869399657</v>
      </c>
      <c r="AT88" s="14">
        <f t="shared" si="233"/>
        <v>921.21334195883162</v>
      </c>
      <c r="AU88" s="15">
        <f t="shared" si="234"/>
        <v>32341.766863741275</v>
      </c>
      <c r="AV88" s="14">
        <f t="shared" si="235"/>
        <v>9997.5940558678249</v>
      </c>
      <c r="AW88" s="10">
        <f t="shared" si="236"/>
        <v>23798.033441119649</v>
      </c>
      <c r="AY88"/>
      <c r="BB88" s="69"/>
      <c r="BC88"/>
      <c r="BD88"/>
    </row>
    <row r="89" spans="1:62" x14ac:dyDescent="0.25">
      <c r="A89" s="3" t="s">
        <v>75</v>
      </c>
      <c r="B89" s="4"/>
      <c r="C89" s="5">
        <f>SUM(C90:C92)</f>
        <v>9476544.089446377</v>
      </c>
      <c r="D89" s="5"/>
      <c r="E89" s="5">
        <f t="shared" ref="E89:AW89" si="244">SUM(E90:E92)</f>
        <v>4738272.0447231885</v>
      </c>
      <c r="F89" s="5">
        <f t="shared" si="244"/>
        <v>1895308.8178892755</v>
      </c>
      <c r="G89" s="5">
        <f t="shared" si="244"/>
        <v>2842963.2268339125</v>
      </c>
      <c r="H89" s="5">
        <f t="shared" si="244"/>
        <v>121520.02008181693</v>
      </c>
      <c r="I89" s="5">
        <f>SUM(I90:I92)</f>
        <v>2721443.2067520963</v>
      </c>
      <c r="J89" s="5">
        <f t="shared" si="244"/>
        <v>45718.983085687076</v>
      </c>
      <c r="K89" s="5">
        <f t="shared" si="244"/>
        <v>110319.4595527963</v>
      </c>
      <c r="L89" s="5">
        <f t="shared" si="244"/>
        <v>71528.597570122074</v>
      </c>
      <c r="M89" s="5">
        <f t="shared" si="244"/>
        <v>100093.44508388769</v>
      </c>
      <c r="N89" s="5">
        <f t="shared" si="244"/>
        <v>141631.7235204496</v>
      </c>
      <c r="O89" s="5">
        <f t="shared" si="244"/>
        <v>74551.207857870249</v>
      </c>
      <c r="P89" s="5">
        <f t="shared" si="244"/>
        <v>43853.143321432268</v>
      </c>
      <c r="Q89" s="5">
        <f t="shared" si="244"/>
        <v>22775.892919632795</v>
      </c>
      <c r="R89" s="5">
        <f t="shared" si="244"/>
        <v>95320.458636272582</v>
      </c>
      <c r="S89" s="5">
        <f t="shared" si="244"/>
        <v>33618.747049655292</v>
      </c>
      <c r="T89" s="5">
        <f t="shared" si="244"/>
        <v>53660.253608580555</v>
      </c>
      <c r="U89" s="5">
        <f t="shared" si="244"/>
        <v>39686.643860170909</v>
      </c>
      <c r="V89" s="5">
        <f t="shared" si="244"/>
        <v>104760.16039348568</v>
      </c>
      <c r="W89" s="5">
        <f t="shared" si="244"/>
        <v>135961.31156066299</v>
      </c>
      <c r="X89" s="5">
        <f t="shared" si="244"/>
        <v>5948.201400041431</v>
      </c>
      <c r="Y89" s="5">
        <f t="shared" si="244"/>
        <v>57178.52813362352</v>
      </c>
      <c r="Z89" s="5">
        <f t="shared" si="244"/>
        <v>118249.44773960159</v>
      </c>
      <c r="AA89" s="5">
        <f t="shared" si="244"/>
        <v>58842.304732134158</v>
      </c>
      <c r="AB89" s="5">
        <f t="shared" si="244"/>
        <v>5699.1941935139657</v>
      </c>
      <c r="AC89" s="5">
        <f t="shared" si="244"/>
        <v>104651.5167638741</v>
      </c>
      <c r="AD89" s="5">
        <f t="shared" si="244"/>
        <v>184516.64596466703</v>
      </c>
      <c r="AE89" s="5">
        <f t="shared" si="244"/>
        <v>34727.933927897153</v>
      </c>
      <c r="AF89" s="5">
        <f t="shared" si="244"/>
        <v>195987.52541262165</v>
      </c>
      <c r="AG89" s="5">
        <f t="shared" si="244"/>
        <v>16830.487933115579</v>
      </c>
      <c r="AH89" s="5">
        <f t="shared" si="244"/>
        <v>11883.231395964232</v>
      </c>
      <c r="AI89" s="5">
        <f t="shared" si="244"/>
        <v>53634.602468741505</v>
      </c>
      <c r="AJ89" s="5">
        <f t="shared" si="244"/>
        <v>73229.181214472919</v>
      </c>
      <c r="AK89" s="5">
        <f t="shared" si="244"/>
        <v>49975.956926356914</v>
      </c>
      <c r="AL89" s="5">
        <f t="shared" si="244"/>
        <v>100631.34557274115</v>
      </c>
      <c r="AM89" s="5">
        <f t="shared" si="244"/>
        <v>60622.853892064835</v>
      </c>
      <c r="AN89" s="5">
        <f t="shared" si="244"/>
        <v>1807.4348879233548</v>
      </c>
      <c r="AO89" s="5">
        <f t="shared" si="244"/>
        <v>67284.757947770879</v>
      </c>
      <c r="AP89" s="5">
        <f t="shared" si="244"/>
        <v>73475.087080650628</v>
      </c>
      <c r="AQ89" s="5">
        <f t="shared" si="244"/>
        <v>76561.843812257153</v>
      </c>
      <c r="AR89" s="5">
        <f t="shared" si="244"/>
        <v>6916.0355411264745</v>
      </c>
      <c r="AS89" s="5">
        <f t="shared" si="244"/>
        <v>41954.177962685302</v>
      </c>
      <c r="AT89" s="5">
        <f t="shared" si="244"/>
        <v>5267.3045393563143</v>
      </c>
      <c r="AU89" s="5">
        <f t="shared" si="244"/>
        <v>184923.43483644535</v>
      </c>
      <c r="AV89" s="5">
        <f t="shared" si="244"/>
        <v>57164.144454464113</v>
      </c>
      <c r="AW89" s="5">
        <f t="shared" si="244"/>
        <v>142148.16134169564</v>
      </c>
      <c r="AX89" s="6"/>
      <c r="AY89"/>
      <c r="AZ89" s="67"/>
      <c r="BB89" s="69"/>
      <c r="BC89"/>
      <c r="BD89"/>
    </row>
    <row r="90" spans="1:62" x14ac:dyDescent="0.25">
      <c r="A90" s="8"/>
      <c r="B90" s="17" t="s">
        <v>102</v>
      </c>
      <c r="C90" s="21">
        <v>2103340.903761405</v>
      </c>
      <c r="D90" s="59"/>
      <c r="E90" s="10">
        <f>0.5*C90</f>
        <v>1051670.4518807025</v>
      </c>
      <c r="F90" s="59">
        <f>(C90*0.2)+D90</f>
        <v>420668.18075228104</v>
      </c>
      <c r="G90" s="10">
        <f>0.3*C90</f>
        <v>631002.27112842153</v>
      </c>
      <c r="H90" s="11"/>
      <c r="I90" s="12">
        <f>G90-H90</f>
        <v>631002.27112842153</v>
      </c>
      <c r="J90" s="13">
        <f>I90*0.016799535986</f>
        <v>10600.545361069648</v>
      </c>
      <c r="K90" s="11">
        <f>I90*0.040537116218</f>
        <v>25579.012398554769</v>
      </c>
      <c r="L90" s="14">
        <f>I90*0.026283332826</f>
        <v>16584.842706030195</v>
      </c>
      <c r="M90" s="15">
        <f>I90*0.036779545807</f>
        <v>23207.976935288811</v>
      </c>
      <c r="N90" s="16">
        <f>I90*0.052042873123</f>
        <v>32839.171136661287</v>
      </c>
      <c r="O90" s="15">
        <f>I90*0.0273939973</f>
        <v>17285.674511585847</v>
      </c>
      <c r="P90" s="14">
        <f>I90*0.016113929261</f>
        <v>10167.925960493727</v>
      </c>
      <c r="Q90" s="15">
        <f>I90*0.008369049504</f>
        <v>5280.8892442101896</v>
      </c>
      <c r="R90" s="14">
        <f>I90*0.035025701951</f>
        <v>22101.297478948185</v>
      </c>
      <c r="S90" s="15">
        <f>I90*0.012353278939</f>
        <v>7794.9470663918974</v>
      </c>
      <c r="T90" s="14">
        <f>I90*0.019717572454</f>
        <v>12441.832999613203</v>
      </c>
      <c r="U90" s="15">
        <f>I90*0.014582940317</f>
        <v>9201.8684597572228</v>
      </c>
      <c r="V90" s="14">
        <f>I90*0.038494340111</f>
        <v>24290.016035630895</v>
      </c>
      <c r="W90" s="15">
        <f>I90*0.049959268385</f>
        <v>31524.411814849347</v>
      </c>
      <c r="X90" s="14">
        <f>I90*0.002185679049</f>
        <v>1379.1684438768086</v>
      </c>
      <c r="Y90" s="15">
        <f>I90*0.021010369789</f>
        <v>13257.591054106975</v>
      </c>
      <c r="Z90" s="14">
        <f>I90*0.043451006968</f>
        <v>27417.684079624869</v>
      </c>
      <c r="AA90" s="15">
        <f>I90*0.021621727981</f>
        <v>13643.359461731941</v>
      </c>
      <c r="AB90" s="14">
        <f>I90*0.00209418083</f>
        <v>1321.4328598836028</v>
      </c>
      <c r="AC90" s="15">
        <f>I90*0.038454418782</f>
        <v>24264.825586365427</v>
      </c>
      <c r="AD90" s="14">
        <f>I90*0.067801027597</f>
        <v>42782.602398547788</v>
      </c>
      <c r="AE90" s="15">
        <f>I90*0.012760851978</f>
        <v>8052.1265796516109</v>
      </c>
      <c r="AF90" s="14">
        <f>I90*0.072016026249</f>
        <v>45442.276120763017</v>
      </c>
      <c r="AG90" s="15">
        <f>I90*0.006184398003</f>
        <v>3902.3691854550748</v>
      </c>
      <c r="AH90" s="15">
        <f>I90*0.004366518238</f>
        <v>2755.2829251016733</v>
      </c>
      <c r="AI90" s="11">
        <f>I90*0.019708146889</f>
        <v>12435.885446691536</v>
      </c>
      <c r="AJ90" s="14">
        <f>I90*0.026908215844</f>
        <v>16979.145309577776</v>
      </c>
      <c r="AK90" s="15">
        <f>I90*0.01836376993</f>
        <v>11587.580532309814</v>
      </c>
      <c r="AL90" s="14">
        <f>I90*0.036977198467</f>
        <v>23332.696212643386</v>
      </c>
      <c r="AM90" s="15">
        <f>I90*0.022275994495</f>
        <v>14056.203117989215</v>
      </c>
      <c r="AN90" s="14">
        <f>I90*0.000664145731</f>
        <v>419.07746462124572</v>
      </c>
      <c r="AO90" s="15">
        <f>I90*0.024723925078</f>
        <v>15600.852875426935</v>
      </c>
      <c r="AP90" s="14">
        <f>I90*0.026998574469</f>
        <v>17036.161807168817</v>
      </c>
      <c r="AQ90" s="15">
        <f>I90*0.028132809688</f>
        <v>17751.86680635166</v>
      </c>
      <c r="AR90" s="14">
        <f>I90*0.002541311729</f>
        <v>1603.5734726442959</v>
      </c>
      <c r="AS90" s="15">
        <f>I90*0.015416150467</f>
        <v>9727.625956734475</v>
      </c>
      <c r="AT90" s="14">
        <f>I90*0.001935482073</f>
        <v>1221.2935837913453</v>
      </c>
      <c r="AU90" s="15">
        <f>I90*0.067950503019</f>
        <v>42876.921729307665</v>
      </c>
      <c r="AV90" s="14">
        <f>I90*0.021005084476</f>
        <v>13254.256009600351</v>
      </c>
      <c r="AW90" s="10">
        <f>0.03*E90</f>
        <v>31550.113556421074</v>
      </c>
      <c r="AY90"/>
      <c r="AZ90" s="67"/>
      <c r="BB90" s="69"/>
      <c r="BC90"/>
      <c r="BD90"/>
    </row>
    <row r="91" spans="1:62" x14ac:dyDescent="0.25">
      <c r="A91" s="8"/>
      <c r="B91" s="17" t="s">
        <v>101</v>
      </c>
      <c r="C91" s="9">
        <v>5786667.622943663</v>
      </c>
      <c r="D91" s="59"/>
      <c r="E91" s="10">
        <f>0.5*C91</f>
        <v>2893333.8114718315</v>
      </c>
      <c r="F91" s="59">
        <f t="shared" si="195"/>
        <v>1157333.5245887327</v>
      </c>
      <c r="G91" s="10">
        <f t="shared" si="197"/>
        <v>1736000.2868830988</v>
      </c>
      <c r="H91" s="11">
        <f>0.07*G91</f>
        <v>121520.02008181693</v>
      </c>
      <c r="I91" s="12">
        <f>G91-H91</f>
        <v>1614480.2668012818</v>
      </c>
      <c r="J91" s="13">
        <f t="shared" si="242"/>
        <v>27122.519340815019</v>
      </c>
      <c r="K91" s="11">
        <f t="shared" si="198"/>
        <v>65446.374206991204</v>
      </c>
      <c r="L91" s="14">
        <f t="shared" si="199"/>
        <v>42433.922193347367</v>
      </c>
      <c r="M91" s="15">
        <f t="shared" si="200"/>
        <v>59379.850927315325</v>
      </c>
      <c r="N91" s="16">
        <f t="shared" si="201"/>
        <v>84022.191684726306</v>
      </c>
      <c r="O91" s="15">
        <f t="shared" si="202"/>
        <v>44227.068069657595</v>
      </c>
      <c r="P91" s="14">
        <f t="shared" si="203"/>
        <v>26015.620812516259</v>
      </c>
      <c r="Q91" s="15">
        <f t="shared" si="204"/>
        <v>13511.665276091055</v>
      </c>
      <c r="R91" s="14">
        <f t="shared" si="205"/>
        <v>56548.30463075266</v>
      </c>
      <c r="S91" s="15">
        <f t="shared" si="206"/>
        <v>19944.125077307377</v>
      </c>
      <c r="T91" s="14">
        <f t="shared" si="207"/>
        <v>31833.631636207527</v>
      </c>
      <c r="U91" s="15">
        <f t="shared" si="208"/>
        <v>23543.869373737329</v>
      </c>
      <c r="V91" s="14">
        <f t="shared" si="209"/>
        <v>62148.35249274657</v>
      </c>
      <c r="W91" s="15">
        <f t="shared" si="210"/>
        <v>80658.252951411647</v>
      </c>
      <c r="X91" s="14">
        <f t="shared" si="211"/>
        <v>3528.735694171492</v>
      </c>
      <c r="Y91" s="15">
        <f t="shared" si="212"/>
        <v>33920.827422538314</v>
      </c>
      <c r="Z91" s="14">
        <f t="shared" si="213"/>
        <v>70150.793322480997</v>
      </c>
      <c r="AA91" s="15">
        <f t="shared" si="214"/>
        <v>34907.853159469618</v>
      </c>
      <c r="AB91" s="14">
        <f t="shared" si="215"/>
        <v>3381.0136251485296</v>
      </c>
      <c r="AC91" s="15">
        <f t="shared" si="216"/>
        <v>62083.900294851577</v>
      </c>
      <c r="AD91" s="14">
        <f t="shared" si="217"/>
        <v>109463.42112420563</v>
      </c>
      <c r="AE91" s="15">
        <f t="shared" si="218"/>
        <v>20602.143706053106</v>
      </c>
      <c r="AF91" s="14">
        <f t="shared" si="219"/>
        <v>116268.45327245363</v>
      </c>
      <c r="AG91" s="15">
        <f t="shared" si="220"/>
        <v>9984.5885378887542</v>
      </c>
      <c r="AH91" s="15">
        <f t="shared" si="221"/>
        <v>7049.657529878903</v>
      </c>
      <c r="AI91" s="64">
        <f t="shared" si="222"/>
        <v>31818.414247511573</v>
      </c>
      <c r="AJ91" s="14">
        <f t="shared" si="223"/>
        <v>43442.783494967603</v>
      </c>
      <c r="AK91" s="15">
        <f t="shared" si="224"/>
        <v>29647.944176063756</v>
      </c>
      <c r="AL91" s="14">
        <f t="shared" si="225"/>
        <v>59698.957246566104</v>
      </c>
      <c r="AM91" s="15">
        <f t="shared" si="226"/>
        <v>35964.153535551486</v>
      </c>
      <c r="AN91" s="14">
        <f t="shared" si="227"/>
        <v>1072.2501769798123</v>
      </c>
      <c r="AO91" s="15">
        <f t="shared" si="228"/>
        <v>39916.289156304345</v>
      </c>
      <c r="AP91" s="14">
        <f t="shared" si="229"/>
        <v>43588.665711965397</v>
      </c>
      <c r="AQ91" s="15">
        <f t="shared" si="230"/>
        <v>45419.866090951924</v>
      </c>
      <c r="AR91" s="14">
        <f t="shared" si="231"/>
        <v>4102.8976382611472</v>
      </c>
      <c r="AS91" s="15">
        <f t="shared" si="232"/>
        <v>24889.070719010866</v>
      </c>
      <c r="AT91" s="14">
        <f t="shared" si="233"/>
        <v>3124.7976136061379</v>
      </c>
      <c r="AU91" s="15">
        <f t="shared" si="234"/>
        <v>109704.74624339644</v>
      </c>
      <c r="AV91" s="14">
        <f t="shared" si="235"/>
        <v>33912.294388995942</v>
      </c>
      <c r="AW91" s="10">
        <f t="shared" si="236"/>
        <v>86800.014344154944</v>
      </c>
      <c r="AY91"/>
      <c r="AZ91" s="67"/>
      <c r="BB91" s="69"/>
      <c r="BC91"/>
      <c r="BD91"/>
    </row>
    <row r="92" spans="1:62" x14ac:dyDescent="0.25">
      <c r="A92" s="8"/>
      <c r="B92" s="17" t="s">
        <v>44</v>
      </c>
      <c r="C92" s="21">
        <v>1586535.5627413087</v>
      </c>
      <c r="D92" s="59"/>
      <c r="E92" s="10">
        <f t="shared" ref="E92" si="245">0.5*C92</f>
        <v>793267.78137065435</v>
      </c>
      <c r="F92" s="59">
        <f t="shared" si="195"/>
        <v>317307.11254826176</v>
      </c>
      <c r="G92" s="10">
        <f t="shared" si="197"/>
        <v>475960.66882239259</v>
      </c>
      <c r="H92" s="11"/>
      <c r="I92" s="12">
        <f t="shared" si="241"/>
        <v>475960.66882239259</v>
      </c>
      <c r="J92" s="13">
        <f t="shared" si="242"/>
        <v>7995.9183838024128</v>
      </c>
      <c r="K92" s="11">
        <f t="shared" si="198"/>
        <v>19294.072947250337</v>
      </c>
      <c r="L92" s="14">
        <f t="shared" si="199"/>
        <v>12509.832670744507</v>
      </c>
      <c r="M92" s="15">
        <f t="shared" si="200"/>
        <v>17505.617221283544</v>
      </c>
      <c r="N92" s="16">
        <f t="shared" si="201"/>
        <v>24770.360699061999</v>
      </c>
      <c r="O92" s="15">
        <f t="shared" si="202"/>
        <v>13038.465276626817</v>
      </c>
      <c r="P92" s="14">
        <f t="shared" si="203"/>
        <v>7669.5965484222816</v>
      </c>
      <c r="Q92" s="15">
        <f t="shared" si="204"/>
        <v>3983.3383993315529</v>
      </c>
      <c r="R92" s="14">
        <f t="shared" si="205"/>
        <v>16670.856526571741</v>
      </c>
      <c r="S92" s="15">
        <f t="shared" si="206"/>
        <v>5879.6749059560161</v>
      </c>
      <c r="T92" s="14">
        <f t="shared" si="207"/>
        <v>9384.7889727598249</v>
      </c>
      <c r="U92" s="15">
        <f t="shared" si="208"/>
        <v>6940.9060266763536</v>
      </c>
      <c r="V92" s="14">
        <f t="shared" si="209"/>
        <v>18321.791865108215</v>
      </c>
      <c r="W92" s="15">
        <f t="shared" si="210"/>
        <v>23778.646794402011</v>
      </c>
      <c r="X92" s="14">
        <f t="shared" si="211"/>
        <v>1040.2972619931311</v>
      </c>
      <c r="Y92" s="15">
        <f t="shared" si="212"/>
        <v>10000.109656978233</v>
      </c>
      <c r="Z92" s="14">
        <f t="shared" si="213"/>
        <v>20680.970337495721</v>
      </c>
      <c r="AA92" s="15">
        <f t="shared" si="214"/>
        <v>10291.092110932601</v>
      </c>
      <c r="AB92" s="14">
        <f t="shared" si="215"/>
        <v>996.74770848183323</v>
      </c>
      <c r="AC92" s="15">
        <f t="shared" si="216"/>
        <v>18302.790882657093</v>
      </c>
      <c r="AD92" s="14">
        <f t="shared" si="217"/>
        <v>32270.62244191362</v>
      </c>
      <c r="AE92" s="15">
        <f t="shared" si="218"/>
        <v>6073.6636421924313</v>
      </c>
      <c r="AF92" s="14">
        <f t="shared" si="219"/>
        <v>34276.796019405017</v>
      </c>
      <c r="AG92" s="15">
        <f t="shared" si="220"/>
        <v>2943.530209771749</v>
      </c>
      <c r="AH92" s="15">
        <f t="shared" si="221"/>
        <v>2078.2909409836552</v>
      </c>
      <c r="AI92" s="64">
        <f t="shared" si="222"/>
        <v>9380.302774538397</v>
      </c>
      <c r="AJ92" s="14">
        <f t="shared" si="223"/>
        <v>12807.252409927542</v>
      </c>
      <c r="AK92" s="15">
        <f t="shared" si="224"/>
        <v>8740.4322179833416</v>
      </c>
      <c r="AL92" s="14">
        <f t="shared" si="225"/>
        <v>17599.69211353167</v>
      </c>
      <c r="AM92" s="15">
        <f t="shared" si="226"/>
        <v>10602.497238524134</v>
      </c>
      <c r="AN92" s="14">
        <f t="shared" si="227"/>
        <v>316.10724632229682</v>
      </c>
      <c r="AO92" s="15">
        <f t="shared" si="228"/>
        <v>11767.615916039606</v>
      </c>
      <c r="AP92" s="14">
        <f t="shared" si="229"/>
        <v>12850.259561516412</v>
      </c>
      <c r="AQ92" s="15">
        <f t="shared" si="230"/>
        <v>13390.110914953566</v>
      </c>
      <c r="AR92" s="14">
        <f t="shared" si="231"/>
        <v>1209.564430221031</v>
      </c>
      <c r="AS92" s="15">
        <f t="shared" si="232"/>
        <v>7337.4812869399593</v>
      </c>
      <c r="AT92" s="14">
        <f t="shared" si="233"/>
        <v>921.21334195883094</v>
      </c>
      <c r="AU92" s="15">
        <f t="shared" si="234"/>
        <v>32341.76686374125</v>
      </c>
      <c r="AV92" s="14">
        <f t="shared" si="235"/>
        <v>9997.5940558678158</v>
      </c>
      <c r="AW92" s="10">
        <f t="shared" si="236"/>
        <v>23798.033441119631</v>
      </c>
      <c r="AY92"/>
      <c r="AZ92" s="67"/>
      <c r="BB92" s="69"/>
      <c r="BC92"/>
      <c r="BD92"/>
    </row>
    <row r="93" spans="1:62" x14ac:dyDescent="0.25">
      <c r="A93" s="3" t="s">
        <v>76</v>
      </c>
      <c r="B93" s="4"/>
      <c r="C93" s="5">
        <f>SUM(C94:C95)</f>
        <v>7890008.5267050676</v>
      </c>
      <c r="D93" s="5"/>
      <c r="E93" s="5">
        <f t="shared" ref="E93:AW93" si="246">SUM(E94:E95)</f>
        <v>3945004.2633525338</v>
      </c>
      <c r="F93" s="5">
        <f t="shared" si="246"/>
        <v>1578001.7053410138</v>
      </c>
      <c r="G93" s="5">
        <f t="shared" si="246"/>
        <v>2367002.5580115202</v>
      </c>
      <c r="H93" s="5">
        <f t="shared" si="246"/>
        <v>121520.02008181693</v>
      </c>
      <c r="I93" s="5">
        <f t="shared" si="246"/>
        <v>2245482.5379297035</v>
      </c>
      <c r="J93" s="5">
        <f t="shared" si="246"/>
        <v>37723.064701884665</v>
      </c>
      <c r="K93" s="5">
        <f t="shared" si="246"/>
        <v>91025.386605545966</v>
      </c>
      <c r="L93" s="5">
        <f t="shared" si="246"/>
        <v>59018.764899377566</v>
      </c>
      <c r="M93" s="5">
        <f t="shared" si="246"/>
        <v>82587.827862604143</v>
      </c>
      <c r="N93" s="5">
        <f t="shared" si="246"/>
        <v>116861.36282138759</v>
      </c>
      <c r="O93" s="5">
        <f t="shared" si="246"/>
        <v>61512.742581243438</v>
      </c>
      <c r="P93" s="5">
        <f t="shared" si="246"/>
        <v>36183.546773009984</v>
      </c>
      <c r="Q93" s="5">
        <f t="shared" si="246"/>
        <v>18792.554520301244</v>
      </c>
      <c r="R93" s="5">
        <f t="shared" si="246"/>
        <v>78649.602109700849</v>
      </c>
      <c r="S93" s="5">
        <f t="shared" si="246"/>
        <v>27739.072143699275</v>
      </c>
      <c r="T93" s="5">
        <f t="shared" si="246"/>
        <v>44275.464635820732</v>
      </c>
      <c r="U93" s="5">
        <f t="shared" si="246"/>
        <v>32745.737833494553</v>
      </c>
      <c r="V93" s="5">
        <f t="shared" si="246"/>
        <v>86438.368528377468</v>
      </c>
      <c r="W93" s="5">
        <f t="shared" si="246"/>
        <v>112182.66476626099</v>
      </c>
      <c r="X93" s="5">
        <f t="shared" si="246"/>
        <v>4907.9041380483004</v>
      </c>
      <c r="Y93" s="5">
        <f t="shared" si="246"/>
        <v>47178.418476645289</v>
      </c>
      <c r="Z93" s="5">
        <f t="shared" si="246"/>
        <v>97568.477402105869</v>
      </c>
      <c r="AA93" s="5">
        <f t="shared" si="246"/>
        <v>48551.212621201557</v>
      </c>
      <c r="AB93" s="5">
        <f t="shared" si="246"/>
        <v>4702.4464850321328</v>
      </c>
      <c r="AC93" s="5">
        <f t="shared" si="246"/>
        <v>86348.725881217004</v>
      </c>
      <c r="AD93" s="5">
        <f t="shared" si="246"/>
        <v>152246.02352275341</v>
      </c>
      <c r="AE93" s="5">
        <f t="shared" si="246"/>
        <v>28654.270285704719</v>
      </c>
      <c r="AF93" s="5">
        <f t="shared" si="246"/>
        <v>161710.72939321664</v>
      </c>
      <c r="AG93" s="5">
        <f t="shared" si="246"/>
        <v>13886.957723343829</v>
      </c>
      <c r="AH93" s="5">
        <f t="shared" si="246"/>
        <v>9804.9404549805768</v>
      </c>
      <c r="AI93" s="5">
        <f t="shared" si="246"/>
        <v>44254.29969420311</v>
      </c>
      <c r="AJ93" s="5">
        <f t="shared" si="246"/>
        <v>60421.92880454538</v>
      </c>
      <c r="AK93" s="5">
        <f t="shared" si="246"/>
        <v>41235.524708373574</v>
      </c>
      <c r="AL93" s="5">
        <f t="shared" si="246"/>
        <v>83031.653459209483</v>
      </c>
      <c r="AM93" s="5">
        <f t="shared" si="246"/>
        <v>50020.356653540701</v>
      </c>
      <c r="AN93" s="5">
        <f t="shared" si="246"/>
        <v>1491.3276416010581</v>
      </c>
      <c r="AO93" s="5">
        <f t="shared" si="246"/>
        <v>55517.14203173128</v>
      </c>
      <c r="AP93" s="5">
        <f t="shared" si="246"/>
        <v>60624.827519134211</v>
      </c>
      <c r="AQ93" s="5">
        <f t="shared" si="246"/>
        <v>63171.732897303584</v>
      </c>
      <c r="AR93" s="5">
        <f t="shared" si="246"/>
        <v>5706.4711109054433</v>
      </c>
      <c r="AS93" s="5">
        <f t="shared" si="246"/>
        <v>34616.696675745341</v>
      </c>
      <c r="AT93" s="5">
        <f t="shared" si="246"/>
        <v>4346.0911973974835</v>
      </c>
      <c r="AU93" s="5">
        <f t="shared" si="246"/>
        <v>152581.6679727041</v>
      </c>
      <c r="AV93" s="5">
        <f t="shared" si="246"/>
        <v>47166.550398596293</v>
      </c>
      <c r="AW93" s="5">
        <f t="shared" si="246"/>
        <v>118350.12790057602</v>
      </c>
      <c r="AX93" s="6"/>
      <c r="AY93"/>
      <c r="AZ93" s="67"/>
      <c r="BB93" s="69"/>
      <c r="BC93"/>
      <c r="BD93"/>
    </row>
    <row r="94" spans="1:62" x14ac:dyDescent="0.25">
      <c r="A94" s="8"/>
      <c r="B94" s="17" t="s">
        <v>45</v>
      </c>
      <c r="C94" s="21">
        <v>2103340.903761405</v>
      </c>
      <c r="D94" s="59"/>
      <c r="E94" s="10">
        <f>0.5*C94</f>
        <v>1051670.4518807025</v>
      </c>
      <c r="F94" s="59">
        <f>(C94*0.2)+D94</f>
        <v>420668.18075228104</v>
      </c>
      <c r="G94" s="10">
        <f>0.3*C94</f>
        <v>631002.27112842153</v>
      </c>
      <c r="H94" s="11"/>
      <c r="I94" s="12">
        <f>G94-H94</f>
        <v>631002.27112842153</v>
      </c>
      <c r="J94" s="13">
        <f>I94*0.016799535986</f>
        <v>10600.545361069648</v>
      </c>
      <c r="K94" s="11">
        <f>I94*0.040537116218</f>
        <v>25579.012398554769</v>
      </c>
      <c r="L94" s="14">
        <f>I94*0.026283332826</f>
        <v>16584.842706030195</v>
      </c>
      <c r="M94" s="15">
        <f>I94*0.036779545807</f>
        <v>23207.976935288811</v>
      </c>
      <c r="N94" s="16">
        <f>I94*0.052042873123</f>
        <v>32839.171136661287</v>
      </c>
      <c r="O94" s="15">
        <f>I94*0.0273939973</f>
        <v>17285.674511585847</v>
      </c>
      <c r="P94" s="14">
        <f>I94*0.016113929261</f>
        <v>10167.925960493727</v>
      </c>
      <c r="Q94" s="15">
        <f>I94*0.008369049504</f>
        <v>5280.8892442101896</v>
      </c>
      <c r="R94" s="14">
        <f>I94*0.035025701951</f>
        <v>22101.297478948185</v>
      </c>
      <c r="S94" s="15">
        <f>I94*0.012353278939</f>
        <v>7794.9470663918974</v>
      </c>
      <c r="T94" s="14">
        <f>I94*0.019717572454</f>
        <v>12441.832999613203</v>
      </c>
      <c r="U94" s="15">
        <f>I94*0.014582940317</f>
        <v>9201.8684597572228</v>
      </c>
      <c r="V94" s="14">
        <f>I94*0.038494340111</f>
        <v>24290.016035630895</v>
      </c>
      <c r="W94" s="15">
        <f>I94*0.049959268385</f>
        <v>31524.411814849347</v>
      </c>
      <c r="X94" s="14">
        <f>I94*0.002185679049</f>
        <v>1379.1684438768086</v>
      </c>
      <c r="Y94" s="15">
        <f>I94*0.021010369789</f>
        <v>13257.591054106975</v>
      </c>
      <c r="Z94" s="14">
        <f>I94*0.043451006968</f>
        <v>27417.684079624869</v>
      </c>
      <c r="AA94" s="15">
        <f>I94*0.021621727981</f>
        <v>13643.359461731941</v>
      </c>
      <c r="AB94" s="14">
        <f>I94*0.00209418083</f>
        <v>1321.4328598836028</v>
      </c>
      <c r="AC94" s="15">
        <f>I94*0.038454418782</f>
        <v>24264.825586365427</v>
      </c>
      <c r="AD94" s="14">
        <f>I94*0.067801027597</f>
        <v>42782.602398547788</v>
      </c>
      <c r="AE94" s="15">
        <f>I94*0.012760851978</f>
        <v>8052.1265796516109</v>
      </c>
      <c r="AF94" s="14">
        <f>I94*0.072016026249</f>
        <v>45442.276120763017</v>
      </c>
      <c r="AG94" s="15">
        <f>I94*0.006184398003</f>
        <v>3902.3691854550748</v>
      </c>
      <c r="AH94" s="15">
        <f>I94*0.004366518238</f>
        <v>2755.2829251016733</v>
      </c>
      <c r="AI94" s="11">
        <f>I94*0.019708146889</f>
        <v>12435.885446691536</v>
      </c>
      <c r="AJ94" s="14">
        <f>I94*0.026908215844</f>
        <v>16979.145309577776</v>
      </c>
      <c r="AK94" s="15">
        <f>I94*0.01836376993</f>
        <v>11587.580532309814</v>
      </c>
      <c r="AL94" s="14">
        <f>I94*0.036977198467</f>
        <v>23332.696212643386</v>
      </c>
      <c r="AM94" s="15">
        <f>I94*0.022275994495</f>
        <v>14056.203117989215</v>
      </c>
      <c r="AN94" s="14">
        <f>I94*0.000664145731</f>
        <v>419.07746462124572</v>
      </c>
      <c r="AO94" s="15">
        <f>I94*0.024723925078</f>
        <v>15600.852875426935</v>
      </c>
      <c r="AP94" s="14">
        <f>I94*0.026998574469</f>
        <v>17036.161807168817</v>
      </c>
      <c r="AQ94" s="15">
        <f>I94*0.028132809688</f>
        <v>17751.86680635166</v>
      </c>
      <c r="AR94" s="14">
        <f>I94*0.002541311729</f>
        <v>1603.5734726442959</v>
      </c>
      <c r="AS94" s="15">
        <f>I94*0.015416150467</f>
        <v>9727.625956734475</v>
      </c>
      <c r="AT94" s="14">
        <f>I94*0.001935482073</f>
        <v>1221.2935837913453</v>
      </c>
      <c r="AU94" s="15">
        <f>I94*0.067950503019</f>
        <v>42876.921729307665</v>
      </c>
      <c r="AV94" s="14">
        <f>I94*0.021005084476</f>
        <v>13254.256009600351</v>
      </c>
      <c r="AW94" s="10">
        <f>0.03*E94</f>
        <v>31550.113556421074</v>
      </c>
      <c r="AY94"/>
      <c r="AZ94" s="67"/>
      <c r="BB94" s="69"/>
      <c r="BC94"/>
      <c r="BD94"/>
    </row>
    <row r="95" spans="1:62" x14ac:dyDescent="0.25">
      <c r="A95" s="8"/>
      <c r="B95" s="17" t="s">
        <v>101</v>
      </c>
      <c r="C95" s="9">
        <v>5786667.622943663</v>
      </c>
      <c r="D95" s="59"/>
      <c r="E95" s="10">
        <f>0.5*C95</f>
        <v>2893333.8114718315</v>
      </c>
      <c r="F95" s="59">
        <f>(C95*0.2)+D95</f>
        <v>1157333.5245887327</v>
      </c>
      <c r="G95" s="10">
        <f t="shared" si="197"/>
        <v>1736000.2868830988</v>
      </c>
      <c r="H95" s="11">
        <f>0.07*G95</f>
        <v>121520.02008181693</v>
      </c>
      <c r="I95" s="12">
        <f>G95-H95</f>
        <v>1614480.2668012818</v>
      </c>
      <c r="J95" s="13">
        <f t="shared" si="242"/>
        <v>27122.519340815019</v>
      </c>
      <c r="K95" s="11">
        <f t="shared" si="198"/>
        <v>65446.374206991204</v>
      </c>
      <c r="L95" s="14">
        <f t="shared" si="199"/>
        <v>42433.922193347367</v>
      </c>
      <c r="M95" s="15">
        <f t="shared" si="200"/>
        <v>59379.850927315325</v>
      </c>
      <c r="N95" s="16">
        <f t="shared" si="201"/>
        <v>84022.191684726306</v>
      </c>
      <c r="O95" s="15">
        <f t="shared" si="202"/>
        <v>44227.068069657595</v>
      </c>
      <c r="P95" s="14">
        <f t="shared" si="203"/>
        <v>26015.620812516259</v>
      </c>
      <c r="Q95" s="15">
        <f t="shared" si="204"/>
        <v>13511.665276091055</v>
      </c>
      <c r="R95" s="14">
        <f t="shared" si="205"/>
        <v>56548.30463075266</v>
      </c>
      <c r="S95" s="15">
        <f t="shared" si="206"/>
        <v>19944.125077307377</v>
      </c>
      <c r="T95" s="14">
        <f t="shared" si="207"/>
        <v>31833.631636207527</v>
      </c>
      <c r="U95" s="15">
        <f t="shared" si="208"/>
        <v>23543.869373737329</v>
      </c>
      <c r="V95" s="14">
        <f t="shared" si="209"/>
        <v>62148.35249274657</v>
      </c>
      <c r="W95" s="15">
        <f t="shared" si="210"/>
        <v>80658.252951411647</v>
      </c>
      <c r="X95" s="14">
        <f t="shared" si="211"/>
        <v>3528.735694171492</v>
      </c>
      <c r="Y95" s="15">
        <f t="shared" si="212"/>
        <v>33920.827422538314</v>
      </c>
      <c r="Z95" s="14">
        <f t="shared" si="213"/>
        <v>70150.793322480997</v>
      </c>
      <c r="AA95" s="15">
        <f t="shared" si="214"/>
        <v>34907.853159469618</v>
      </c>
      <c r="AB95" s="14">
        <f t="shared" si="215"/>
        <v>3381.0136251485296</v>
      </c>
      <c r="AC95" s="15">
        <f t="shared" si="216"/>
        <v>62083.900294851577</v>
      </c>
      <c r="AD95" s="14">
        <f t="shared" si="217"/>
        <v>109463.42112420563</v>
      </c>
      <c r="AE95" s="15">
        <f t="shared" si="218"/>
        <v>20602.143706053106</v>
      </c>
      <c r="AF95" s="14">
        <f t="shared" si="219"/>
        <v>116268.45327245363</v>
      </c>
      <c r="AG95" s="15">
        <f t="shared" si="220"/>
        <v>9984.5885378887542</v>
      </c>
      <c r="AH95" s="15">
        <f t="shared" si="221"/>
        <v>7049.657529878903</v>
      </c>
      <c r="AI95" s="64">
        <f t="shared" si="222"/>
        <v>31818.414247511573</v>
      </c>
      <c r="AJ95" s="14">
        <f t="shared" si="223"/>
        <v>43442.783494967603</v>
      </c>
      <c r="AK95" s="15">
        <f t="shared" si="224"/>
        <v>29647.944176063756</v>
      </c>
      <c r="AL95" s="14">
        <f t="shared" si="225"/>
        <v>59698.957246566104</v>
      </c>
      <c r="AM95" s="15">
        <f t="shared" si="226"/>
        <v>35964.153535551486</v>
      </c>
      <c r="AN95" s="14">
        <f t="shared" si="227"/>
        <v>1072.2501769798123</v>
      </c>
      <c r="AO95" s="15">
        <f t="shared" si="228"/>
        <v>39916.289156304345</v>
      </c>
      <c r="AP95" s="14">
        <f t="shared" si="229"/>
        <v>43588.665711965397</v>
      </c>
      <c r="AQ95" s="15">
        <f t="shared" si="230"/>
        <v>45419.866090951924</v>
      </c>
      <c r="AR95" s="14">
        <f t="shared" si="231"/>
        <v>4102.8976382611472</v>
      </c>
      <c r="AS95" s="15">
        <f t="shared" si="232"/>
        <v>24889.070719010866</v>
      </c>
      <c r="AT95" s="14">
        <f t="shared" si="233"/>
        <v>3124.7976136061379</v>
      </c>
      <c r="AU95" s="15">
        <f t="shared" si="234"/>
        <v>109704.74624339644</v>
      </c>
      <c r="AV95" s="14">
        <f t="shared" si="235"/>
        <v>33912.294388995942</v>
      </c>
      <c r="AW95" s="10">
        <f t="shared" si="236"/>
        <v>86800.014344154944</v>
      </c>
      <c r="AY95"/>
      <c r="AZ95" s="67"/>
      <c r="BB95" s="69"/>
      <c r="BC95"/>
      <c r="BD95"/>
    </row>
    <row r="96" spans="1:62" x14ac:dyDescent="0.25">
      <c r="A96" s="3" t="s">
        <v>77</v>
      </c>
      <c r="B96" s="23"/>
      <c r="C96" s="5">
        <f>SUM(C97:C98)</f>
        <v>7890008.5267050676</v>
      </c>
      <c r="D96" s="5"/>
      <c r="E96" s="5">
        <f>SUM(E97:E98)</f>
        <v>3945004.2633525338</v>
      </c>
      <c r="F96" s="5">
        <f t="shared" ref="F96:AV96" si="247">SUM(F97:F98)</f>
        <v>1578001.7053410138</v>
      </c>
      <c r="G96" s="5">
        <f t="shared" si="247"/>
        <v>2367002.5580115202</v>
      </c>
      <c r="H96" s="5">
        <f t="shared" si="247"/>
        <v>121520.02008181693</v>
      </c>
      <c r="I96" s="5">
        <f t="shared" si="247"/>
        <v>2245482.5379297035</v>
      </c>
      <c r="J96" s="5">
        <f t="shared" si="247"/>
        <v>37723.064701884665</v>
      </c>
      <c r="K96" s="5">
        <f t="shared" si="247"/>
        <v>91025.386605545966</v>
      </c>
      <c r="L96" s="5">
        <f t="shared" si="247"/>
        <v>59018.764899377566</v>
      </c>
      <c r="M96" s="5">
        <f t="shared" si="247"/>
        <v>82587.827862604143</v>
      </c>
      <c r="N96" s="5">
        <f t="shared" si="247"/>
        <v>116861.36282138759</v>
      </c>
      <c r="O96" s="5">
        <f t="shared" si="247"/>
        <v>61512.742581243438</v>
      </c>
      <c r="P96" s="5">
        <f t="shared" si="247"/>
        <v>36183.546773009984</v>
      </c>
      <c r="Q96" s="5">
        <f t="shared" si="247"/>
        <v>18792.554520301244</v>
      </c>
      <c r="R96" s="5">
        <f t="shared" si="247"/>
        <v>78649.602109700849</v>
      </c>
      <c r="S96" s="5">
        <f t="shared" si="247"/>
        <v>27739.072143699275</v>
      </c>
      <c r="T96" s="5">
        <f t="shared" si="247"/>
        <v>44275.464635820732</v>
      </c>
      <c r="U96" s="5">
        <f t="shared" si="247"/>
        <v>32745.737833494553</v>
      </c>
      <c r="V96" s="5">
        <f t="shared" si="247"/>
        <v>86438.368528377468</v>
      </c>
      <c r="W96" s="5">
        <f t="shared" si="247"/>
        <v>112182.66476626099</v>
      </c>
      <c r="X96" s="5">
        <f t="shared" si="247"/>
        <v>4907.9041380483004</v>
      </c>
      <c r="Y96" s="5">
        <f t="shared" si="247"/>
        <v>47178.418476645289</v>
      </c>
      <c r="Z96" s="5">
        <f t="shared" si="247"/>
        <v>97568.477402105869</v>
      </c>
      <c r="AA96" s="5">
        <f t="shared" si="247"/>
        <v>48551.212621201557</v>
      </c>
      <c r="AB96" s="5">
        <f t="shared" si="247"/>
        <v>4702.4464850321328</v>
      </c>
      <c r="AC96" s="5">
        <f t="shared" si="247"/>
        <v>86348.725881217004</v>
      </c>
      <c r="AD96" s="5">
        <f t="shared" si="247"/>
        <v>152246.02352275341</v>
      </c>
      <c r="AE96" s="5">
        <f t="shared" si="247"/>
        <v>28654.270285704719</v>
      </c>
      <c r="AF96" s="5">
        <f t="shared" si="247"/>
        <v>161710.72939321664</v>
      </c>
      <c r="AG96" s="5">
        <f t="shared" si="247"/>
        <v>13886.957723343829</v>
      </c>
      <c r="AH96" s="5">
        <f t="shared" si="247"/>
        <v>9804.9404549805768</v>
      </c>
      <c r="AI96" s="5">
        <f t="shared" si="247"/>
        <v>44254.29969420311</v>
      </c>
      <c r="AJ96" s="5">
        <f t="shared" si="247"/>
        <v>60421.92880454538</v>
      </c>
      <c r="AK96" s="5">
        <f t="shared" si="247"/>
        <v>41235.524708373574</v>
      </c>
      <c r="AL96" s="5">
        <f t="shared" si="247"/>
        <v>83031.653459209483</v>
      </c>
      <c r="AM96" s="5">
        <f t="shared" si="247"/>
        <v>50020.356653540701</v>
      </c>
      <c r="AN96" s="5">
        <f t="shared" si="247"/>
        <v>1491.3276416010581</v>
      </c>
      <c r="AO96" s="5">
        <f t="shared" si="247"/>
        <v>55517.14203173128</v>
      </c>
      <c r="AP96" s="5">
        <f t="shared" si="247"/>
        <v>60624.827519134211</v>
      </c>
      <c r="AQ96" s="5">
        <f t="shared" si="247"/>
        <v>63171.732897303584</v>
      </c>
      <c r="AR96" s="5">
        <f t="shared" si="247"/>
        <v>5706.4711109054433</v>
      </c>
      <c r="AS96" s="5">
        <f t="shared" si="247"/>
        <v>34616.696675745341</v>
      </c>
      <c r="AT96" s="5">
        <f t="shared" si="247"/>
        <v>4346.0911973974835</v>
      </c>
      <c r="AU96" s="5">
        <f t="shared" si="247"/>
        <v>152581.6679727041</v>
      </c>
      <c r="AV96" s="5">
        <f t="shared" si="247"/>
        <v>47166.550398596293</v>
      </c>
      <c r="AW96" s="5">
        <f>SUM(AW97:AW98)</f>
        <v>118350.12790057602</v>
      </c>
      <c r="AX96" s="6"/>
      <c r="AY96"/>
      <c r="AZ96" s="67"/>
      <c r="BB96" s="69"/>
      <c r="BC96"/>
      <c r="BD96"/>
    </row>
    <row r="97" spans="1:62" x14ac:dyDescent="0.25">
      <c r="A97" s="24"/>
      <c r="B97" s="17" t="s">
        <v>102</v>
      </c>
      <c r="C97" s="21">
        <v>2103340.903761405</v>
      </c>
      <c r="D97" s="59"/>
      <c r="E97" s="10">
        <f>0.5*C97</f>
        <v>1051670.4518807025</v>
      </c>
      <c r="F97" s="59">
        <f>(C97*0.2)+D97</f>
        <v>420668.18075228104</v>
      </c>
      <c r="G97" s="10">
        <f>0.3*C97</f>
        <v>631002.27112842153</v>
      </c>
      <c r="H97" s="11"/>
      <c r="I97" s="12">
        <f>G97-H97</f>
        <v>631002.27112842153</v>
      </c>
      <c r="J97" s="13">
        <f>I97*0.016799535986</f>
        <v>10600.545361069648</v>
      </c>
      <c r="K97" s="11">
        <f>I97*0.040537116218</f>
        <v>25579.012398554769</v>
      </c>
      <c r="L97" s="14">
        <f>I97*0.026283332826</f>
        <v>16584.842706030195</v>
      </c>
      <c r="M97" s="15">
        <f>I97*0.036779545807</f>
        <v>23207.976935288811</v>
      </c>
      <c r="N97" s="16">
        <f>I97*0.052042873123</f>
        <v>32839.171136661287</v>
      </c>
      <c r="O97" s="15">
        <f>I97*0.0273939973</f>
        <v>17285.674511585847</v>
      </c>
      <c r="P97" s="14">
        <f>I97*0.016113929261</f>
        <v>10167.925960493727</v>
      </c>
      <c r="Q97" s="15">
        <f>I97*0.008369049504</f>
        <v>5280.8892442101896</v>
      </c>
      <c r="R97" s="14">
        <f>I97*0.035025701951</f>
        <v>22101.297478948185</v>
      </c>
      <c r="S97" s="15">
        <f>I97*0.012353278939</f>
        <v>7794.9470663918974</v>
      </c>
      <c r="T97" s="14">
        <f>I97*0.019717572454</f>
        <v>12441.832999613203</v>
      </c>
      <c r="U97" s="15">
        <f>I97*0.014582940317</f>
        <v>9201.8684597572228</v>
      </c>
      <c r="V97" s="14">
        <f>I97*0.038494340111</f>
        <v>24290.016035630895</v>
      </c>
      <c r="W97" s="15">
        <f>I97*0.049959268385</f>
        <v>31524.411814849347</v>
      </c>
      <c r="X97" s="14">
        <f>I97*0.002185679049</f>
        <v>1379.1684438768086</v>
      </c>
      <c r="Y97" s="15">
        <f>I97*0.021010369789</f>
        <v>13257.591054106975</v>
      </c>
      <c r="Z97" s="14">
        <f>I97*0.043451006968</f>
        <v>27417.684079624869</v>
      </c>
      <c r="AA97" s="15">
        <f>I97*0.021621727981</f>
        <v>13643.359461731941</v>
      </c>
      <c r="AB97" s="14">
        <f>I97*0.00209418083</f>
        <v>1321.4328598836028</v>
      </c>
      <c r="AC97" s="15">
        <f>I97*0.038454418782</f>
        <v>24264.825586365427</v>
      </c>
      <c r="AD97" s="14">
        <f>I97*0.067801027597</f>
        <v>42782.602398547788</v>
      </c>
      <c r="AE97" s="15">
        <f>I97*0.012760851978</f>
        <v>8052.1265796516109</v>
      </c>
      <c r="AF97" s="14">
        <f>I97*0.072016026249</f>
        <v>45442.276120763017</v>
      </c>
      <c r="AG97" s="15">
        <f>I97*0.006184398003</f>
        <v>3902.3691854550748</v>
      </c>
      <c r="AH97" s="15">
        <f>I97*0.004366518238</f>
        <v>2755.2829251016733</v>
      </c>
      <c r="AI97" s="11">
        <f>I97*0.019708146889</f>
        <v>12435.885446691536</v>
      </c>
      <c r="AJ97" s="14">
        <f>I97*0.026908215844</f>
        <v>16979.145309577776</v>
      </c>
      <c r="AK97" s="15">
        <f>I97*0.01836376993</f>
        <v>11587.580532309814</v>
      </c>
      <c r="AL97" s="14">
        <f>I97*0.036977198467</f>
        <v>23332.696212643386</v>
      </c>
      <c r="AM97" s="15">
        <f>I97*0.022275994495</f>
        <v>14056.203117989215</v>
      </c>
      <c r="AN97" s="14">
        <f>I97*0.000664145731</f>
        <v>419.07746462124572</v>
      </c>
      <c r="AO97" s="15">
        <f>I97*0.024723925078</f>
        <v>15600.852875426935</v>
      </c>
      <c r="AP97" s="14">
        <f>I97*0.026998574469</f>
        <v>17036.161807168817</v>
      </c>
      <c r="AQ97" s="15">
        <f>I97*0.028132809688</f>
        <v>17751.86680635166</v>
      </c>
      <c r="AR97" s="14">
        <f>I97*0.002541311729</f>
        <v>1603.5734726442959</v>
      </c>
      <c r="AS97" s="15">
        <f>I97*0.015416150467</f>
        <v>9727.625956734475</v>
      </c>
      <c r="AT97" s="14">
        <f>I97*0.001935482073</f>
        <v>1221.2935837913453</v>
      </c>
      <c r="AU97" s="15">
        <f>I97*0.067950503019</f>
        <v>42876.921729307665</v>
      </c>
      <c r="AV97" s="14">
        <f>I97*0.021005084476</f>
        <v>13254.256009600351</v>
      </c>
      <c r="AW97" s="10">
        <f>0.03*E97</f>
        <v>31550.113556421074</v>
      </c>
      <c r="AX97" s="6"/>
      <c r="AY97"/>
      <c r="AZ97" s="67"/>
      <c r="BB97" s="69"/>
      <c r="BC97"/>
      <c r="BD97"/>
    </row>
    <row r="98" spans="1:62" x14ac:dyDescent="0.25">
      <c r="A98" s="24"/>
      <c r="B98" s="25" t="s">
        <v>87</v>
      </c>
      <c r="C98" s="9">
        <v>5786667.622943663</v>
      </c>
      <c r="D98" s="59"/>
      <c r="E98" s="10">
        <f>0.5*C98</f>
        <v>2893333.8114718315</v>
      </c>
      <c r="F98" s="59">
        <f t="shared" si="195"/>
        <v>1157333.5245887327</v>
      </c>
      <c r="G98" s="10">
        <f t="shared" si="197"/>
        <v>1736000.2868830988</v>
      </c>
      <c r="H98" s="11">
        <f>0.07*G98</f>
        <v>121520.02008181693</v>
      </c>
      <c r="I98" s="12">
        <f t="shared" si="241"/>
        <v>1614480.2668012818</v>
      </c>
      <c r="J98" s="13">
        <f t="shared" si="242"/>
        <v>27122.519340815019</v>
      </c>
      <c r="K98" s="11">
        <f t="shared" si="198"/>
        <v>65446.374206991204</v>
      </c>
      <c r="L98" s="14">
        <f t="shared" si="199"/>
        <v>42433.922193347367</v>
      </c>
      <c r="M98" s="15">
        <f t="shared" si="200"/>
        <v>59379.850927315325</v>
      </c>
      <c r="N98" s="16">
        <f t="shared" si="201"/>
        <v>84022.191684726306</v>
      </c>
      <c r="O98" s="15">
        <f t="shared" si="202"/>
        <v>44227.068069657595</v>
      </c>
      <c r="P98" s="14">
        <f t="shared" si="203"/>
        <v>26015.620812516259</v>
      </c>
      <c r="Q98" s="15">
        <f t="shared" si="204"/>
        <v>13511.665276091055</v>
      </c>
      <c r="R98" s="14">
        <f t="shared" si="205"/>
        <v>56548.30463075266</v>
      </c>
      <c r="S98" s="15">
        <f t="shared" si="206"/>
        <v>19944.125077307377</v>
      </c>
      <c r="T98" s="14">
        <f t="shared" si="207"/>
        <v>31833.631636207527</v>
      </c>
      <c r="U98" s="15">
        <f t="shared" si="208"/>
        <v>23543.869373737329</v>
      </c>
      <c r="V98" s="14">
        <f t="shared" si="209"/>
        <v>62148.35249274657</v>
      </c>
      <c r="W98" s="15">
        <f t="shared" si="210"/>
        <v>80658.252951411647</v>
      </c>
      <c r="X98" s="14">
        <f t="shared" si="211"/>
        <v>3528.735694171492</v>
      </c>
      <c r="Y98" s="15">
        <f t="shared" si="212"/>
        <v>33920.827422538314</v>
      </c>
      <c r="Z98" s="14">
        <f t="shared" si="213"/>
        <v>70150.793322480997</v>
      </c>
      <c r="AA98" s="15">
        <f t="shared" si="214"/>
        <v>34907.853159469618</v>
      </c>
      <c r="AB98" s="14">
        <f t="shared" si="215"/>
        <v>3381.0136251485296</v>
      </c>
      <c r="AC98" s="15">
        <f t="shared" si="216"/>
        <v>62083.900294851577</v>
      </c>
      <c r="AD98" s="14">
        <f t="shared" si="217"/>
        <v>109463.42112420563</v>
      </c>
      <c r="AE98" s="15">
        <f t="shared" si="218"/>
        <v>20602.143706053106</v>
      </c>
      <c r="AF98" s="14">
        <f t="shared" si="219"/>
        <v>116268.45327245363</v>
      </c>
      <c r="AG98" s="15">
        <f t="shared" si="220"/>
        <v>9984.5885378887542</v>
      </c>
      <c r="AH98" s="15">
        <f t="shared" si="221"/>
        <v>7049.657529878903</v>
      </c>
      <c r="AI98" s="64">
        <f t="shared" si="222"/>
        <v>31818.414247511573</v>
      </c>
      <c r="AJ98" s="14">
        <f t="shared" si="223"/>
        <v>43442.783494967603</v>
      </c>
      <c r="AK98" s="15">
        <f t="shared" si="224"/>
        <v>29647.944176063756</v>
      </c>
      <c r="AL98" s="14">
        <f t="shared" si="225"/>
        <v>59698.957246566104</v>
      </c>
      <c r="AM98" s="15">
        <f t="shared" si="226"/>
        <v>35964.153535551486</v>
      </c>
      <c r="AN98" s="14">
        <f t="shared" si="227"/>
        <v>1072.2501769798123</v>
      </c>
      <c r="AO98" s="15">
        <f t="shared" si="228"/>
        <v>39916.289156304345</v>
      </c>
      <c r="AP98" s="14">
        <f t="shared" si="229"/>
        <v>43588.665711965397</v>
      </c>
      <c r="AQ98" s="15">
        <f t="shared" si="230"/>
        <v>45419.866090951924</v>
      </c>
      <c r="AR98" s="14">
        <f t="shared" si="231"/>
        <v>4102.8976382611472</v>
      </c>
      <c r="AS98" s="15">
        <f t="shared" si="232"/>
        <v>24889.070719010866</v>
      </c>
      <c r="AT98" s="14">
        <f t="shared" si="233"/>
        <v>3124.7976136061379</v>
      </c>
      <c r="AU98" s="15">
        <f t="shared" si="234"/>
        <v>109704.74624339644</v>
      </c>
      <c r="AV98" s="14">
        <f t="shared" si="235"/>
        <v>33912.294388995942</v>
      </c>
      <c r="AW98" s="10">
        <f t="shared" si="236"/>
        <v>86800.014344154944</v>
      </c>
      <c r="AY98"/>
      <c r="AZ98" s="67"/>
      <c r="BB98" s="69"/>
      <c r="BC98"/>
      <c r="BD98"/>
    </row>
    <row r="99" spans="1:62" x14ac:dyDescent="0.25">
      <c r="A99" s="3" t="s">
        <v>78</v>
      </c>
      <c r="B99" s="23"/>
      <c r="C99" s="5">
        <f>SUM(C100:C101)</f>
        <v>5786667.622943663</v>
      </c>
      <c r="D99" s="5"/>
      <c r="E99" s="5">
        <f t="shared" ref="E99" si="248">SUM(E100:E101)</f>
        <v>2893333.8114718315</v>
      </c>
      <c r="F99" s="5">
        <f>SUM(F100:F101)</f>
        <v>1157333.5245887327</v>
      </c>
      <c r="G99" s="5">
        <f>SUM(G100:G101)</f>
        <v>1736000.2868830988</v>
      </c>
      <c r="H99" s="5">
        <f t="shared" ref="H99" si="249">SUM(H100:H101)</f>
        <v>121520.02008181693</v>
      </c>
      <c r="I99" s="5">
        <f>SUM(I100:I101)</f>
        <v>1614480.2668012818</v>
      </c>
      <c r="J99" s="5">
        <f t="shared" ref="J99:AW99" si="250">SUM(J100:J101)</f>
        <v>27122.519340815019</v>
      </c>
      <c r="K99" s="5">
        <f t="shared" si="250"/>
        <v>65446.374206991204</v>
      </c>
      <c r="L99" s="5">
        <f t="shared" si="250"/>
        <v>42433.922193347367</v>
      </c>
      <c r="M99" s="5">
        <f t="shared" si="250"/>
        <v>59379.850927315325</v>
      </c>
      <c r="N99" s="5">
        <f t="shared" si="250"/>
        <v>84022.191684726306</v>
      </c>
      <c r="O99" s="5">
        <f t="shared" si="250"/>
        <v>44227.068069657595</v>
      </c>
      <c r="P99" s="5">
        <f t="shared" si="250"/>
        <v>26015.620812516259</v>
      </c>
      <c r="Q99" s="5">
        <f t="shared" si="250"/>
        <v>13511.665276091055</v>
      </c>
      <c r="R99" s="5">
        <f t="shared" si="250"/>
        <v>56548.30463075266</v>
      </c>
      <c r="S99" s="5">
        <f t="shared" si="250"/>
        <v>19944.125077307377</v>
      </c>
      <c r="T99" s="5">
        <f t="shared" si="250"/>
        <v>31833.631636207527</v>
      </c>
      <c r="U99" s="5">
        <f t="shared" si="250"/>
        <v>23543.869373737329</v>
      </c>
      <c r="V99" s="5">
        <f t="shared" si="250"/>
        <v>62148.35249274657</v>
      </c>
      <c r="W99" s="5">
        <f t="shared" si="250"/>
        <v>80658.252951411647</v>
      </c>
      <c r="X99" s="5">
        <f t="shared" si="250"/>
        <v>3528.735694171492</v>
      </c>
      <c r="Y99" s="5">
        <f t="shared" si="250"/>
        <v>33920.827422538314</v>
      </c>
      <c r="Z99" s="5">
        <f t="shared" si="250"/>
        <v>70150.793322480997</v>
      </c>
      <c r="AA99" s="5">
        <f t="shared" si="250"/>
        <v>34907.853159469618</v>
      </c>
      <c r="AB99" s="5">
        <f t="shared" si="250"/>
        <v>3381.0136251485296</v>
      </c>
      <c r="AC99" s="5">
        <f t="shared" si="250"/>
        <v>62083.900294851577</v>
      </c>
      <c r="AD99" s="5">
        <f t="shared" si="250"/>
        <v>109463.42112420563</v>
      </c>
      <c r="AE99" s="5">
        <f t="shared" si="250"/>
        <v>20602.143706053106</v>
      </c>
      <c r="AF99" s="5">
        <f t="shared" si="250"/>
        <v>116268.45327245363</v>
      </c>
      <c r="AG99" s="5">
        <f t="shared" si="250"/>
        <v>9984.5885378887542</v>
      </c>
      <c r="AH99" s="5">
        <f t="shared" si="250"/>
        <v>7049.657529878903</v>
      </c>
      <c r="AI99" s="5">
        <f t="shared" si="250"/>
        <v>31818.414247511573</v>
      </c>
      <c r="AJ99" s="5">
        <f t="shared" si="250"/>
        <v>43442.783494967603</v>
      </c>
      <c r="AK99" s="5">
        <f t="shared" si="250"/>
        <v>29647.944176063756</v>
      </c>
      <c r="AL99" s="5">
        <f t="shared" si="250"/>
        <v>59698.957246566104</v>
      </c>
      <c r="AM99" s="5">
        <f t="shared" si="250"/>
        <v>35964.153535551486</v>
      </c>
      <c r="AN99" s="5">
        <f t="shared" si="250"/>
        <v>1072.2501769798123</v>
      </c>
      <c r="AO99" s="5">
        <f t="shared" si="250"/>
        <v>39916.289156304345</v>
      </c>
      <c r="AP99" s="5">
        <f t="shared" si="250"/>
        <v>43588.665711965397</v>
      </c>
      <c r="AQ99" s="5">
        <f t="shared" si="250"/>
        <v>45419.866090951924</v>
      </c>
      <c r="AR99" s="5">
        <f t="shared" si="250"/>
        <v>4102.8976382611472</v>
      </c>
      <c r="AS99" s="5">
        <f t="shared" si="250"/>
        <v>24889.070719010866</v>
      </c>
      <c r="AT99" s="5">
        <f t="shared" si="250"/>
        <v>3124.7976136061379</v>
      </c>
      <c r="AU99" s="5">
        <f t="shared" si="250"/>
        <v>109704.74624339644</v>
      </c>
      <c r="AV99" s="5">
        <f t="shared" si="250"/>
        <v>33912.294388995942</v>
      </c>
      <c r="AW99" s="5">
        <f t="shared" si="250"/>
        <v>86800.014344154944</v>
      </c>
      <c r="AX99" s="6"/>
      <c r="AY99"/>
      <c r="BB99" s="69"/>
      <c r="BC99"/>
      <c r="BD99"/>
    </row>
    <row r="100" spans="1:62" x14ac:dyDescent="0.25">
      <c r="A100" s="24"/>
      <c r="B100" s="25" t="s">
        <v>101</v>
      </c>
      <c r="C100" s="9">
        <v>5786667.622943663</v>
      </c>
      <c r="D100" s="59"/>
      <c r="E100" s="10">
        <f>0.5*C100</f>
        <v>2893333.8114718315</v>
      </c>
      <c r="F100" s="59">
        <f t="shared" si="195"/>
        <v>1157333.5245887327</v>
      </c>
      <c r="G100" s="10">
        <f t="shared" si="197"/>
        <v>1736000.2868830988</v>
      </c>
      <c r="H100" s="11">
        <f>0.07*G100</f>
        <v>121520.02008181693</v>
      </c>
      <c r="I100" s="12">
        <f t="shared" si="241"/>
        <v>1614480.2668012818</v>
      </c>
      <c r="J100" s="13">
        <f>I100*0.016799535986</f>
        <v>27122.519340815019</v>
      </c>
      <c r="K100" s="11">
        <f t="shared" si="198"/>
        <v>65446.374206991204</v>
      </c>
      <c r="L100" s="14">
        <f t="shared" si="199"/>
        <v>42433.922193347367</v>
      </c>
      <c r="M100" s="15">
        <f t="shared" si="200"/>
        <v>59379.850927315325</v>
      </c>
      <c r="N100" s="16">
        <f t="shared" si="201"/>
        <v>84022.191684726306</v>
      </c>
      <c r="O100" s="15">
        <f t="shared" si="202"/>
        <v>44227.068069657595</v>
      </c>
      <c r="P100" s="14">
        <f t="shared" si="203"/>
        <v>26015.620812516259</v>
      </c>
      <c r="Q100" s="15">
        <f>I100*0.008369049504</f>
        <v>13511.665276091055</v>
      </c>
      <c r="R100" s="14">
        <f t="shared" si="205"/>
        <v>56548.30463075266</v>
      </c>
      <c r="S100" s="15">
        <f t="shared" si="206"/>
        <v>19944.125077307377</v>
      </c>
      <c r="T100" s="14">
        <f t="shared" si="207"/>
        <v>31833.631636207527</v>
      </c>
      <c r="U100" s="15">
        <f t="shared" si="208"/>
        <v>23543.869373737329</v>
      </c>
      <c r="V100" s="14">
        <f t="shared" si="209"/>
        <v>62148.35249274657</v>
      </c>
      <c r="W100" s="15">
        <f t="shared" si="210"/>
        <v>80658.252951411647</v>
      </c>
      <c r="X100" s="14">
        <f t="shared" si="211"/>
        <v>3528.735694171492</v>
      </c>
      <c r="Y100" s="15">
        <f t="shared" si="212"/>
        <v>33920.827422538314</v>
      </c>
      <c r="Z100" s="14">
        <f t="shared" si="213"/>
        <v>70150.793322480997</v>
      </c>
      <c r="AA100" s="15">
        <f t="shared" si="214"/>
        <v>34907.853159469618</v>
      </c>
      <c r="AB100" s="14">
        <f t="shared" si="215"/>
        <v>3381.0136251485296</v>
      </c>
      <c r="AC100" s="15">
        <f t="shared" si="216"/>
        <v>62083.900294851577</v>
      </c>
      <c r="AD100" s="14">
        <f t="shared" si="217"/>
        <v>109463.42112420563</v>
      </c>
      <c r="AE100" s="15">
        <f t="shared" si="218"/>
        <v>20602.143706053106</v>
      </c>
      <c r="AF100" s="14">
        <f t="shared" si="219"/>
        <v>116268.45327245363</v>
      </c>
      <c r="AG100" s="15">
        <f t="shared" si="220"/>
        <v>9984.5885378887542</v>
      </c>
      <c r="AH100" s="15">
        <f t="shared" si="221"/>
        <v>7049.657529878903</v>
      </c>
      <c r="AI100" s="64">
        <f t="shared" si="222"/>
        <v>31818.414247511573</v>
      </c>
      <c r="AJ100" s="14">
        <f t="shared" si="223"/>
        <v>43442.783494967603</v>
      </c>
      <c r="AK100" s="15">
        <f t="shared" si="224"/>
        <v>29647.944176063756</v>
      </c>
      <c r="AL100" s="14">
        <f t="shared" si="225"/>
        <v>59698.957246566104</v>
      </c>
      <c r="AM100" s="15">
        <f t="shared" si="226"/>
        <v>35964.153535551486</v>
      </c>
      <c r="AN100" s="14">
        <f t="shared" si="227"/>
        <v>1072.2501769798123</v>
      </c>
      <c r="AO100" s="15">
        <f t="shared" si="228"/>
        <v>39916.289156304345</v>
      </c>
      <c r="AP100" s="14">
        <f t="shared" si="229"/>
        <v>43588.665711965397</v>
      </c>
      <c r="AQ100" s="15">
        <f t="shared" si="230"/>
        <v>45419.866090951924</v>
      </c>
      <c r="AR100" s="14">
        <f t="shared" si="231"/>
        <v>4102.8976382611472</v>
      </c>
      <c r="AS100" s="15">
        <f t="shared" si="232"/>
        <v>24889.070719010866</v>
      </c>
      <c r="AT100" s="14">
        <f t="shared" si="233"/>
        <v>3124.7976136061379</v>
      </c>
      <c r="AU100" s="15">
        <f t="shared" si="234"/>
        <v>109704.74624339644</v>
      </c>
      <c r="AV100" s="14">
        <f t="shared" si="235"/>
        <v>33912.294388995942</v>
      </c>
      <c r="AW100" s="10">
        <f t="shared" si="236"/>
        <v>86800.014344154944</v>
      </c>
      <c r="AY100"/>
      <c r="BB100" s="69"/>
      <c r="BC100"/>
      <c r="BD100"/>
    </row>
    <row r="101" spans="1:62" x14ac:dyDescent="0.25">
      <c r="A101" s="24"/>
      <c r="B101" s="28"/>
      <c r="C101" s="26"/>
      <c r="D101" s="59"/>
      <c r="E101" s="27"/>
      <c r="F101" s="27"/>
      <c r="G101" s="10"/>
      <c r="H101" s="11"/>
      <c r="I101" s="12"/>
      <c r="J101" s="13"/>
      <c r="K101" s="11"/>
      <c r="L101" s="14"/>
      <c r="M101" s="15"/>
      <c r="N101" s="16"/>
      <c r="O101" s="15"/>
      <c r="P101" s="14"/>
      <c r="Q101" s="28"/>
      <c r="R101" s="14"/>
      <c r="S101" s="15"/>
      <c r="T101" s="14"/>
      <c r="U101" s="15"/>
      <c r="V101" s="14"/>
      <c r="W101" s="15"/>
      <c r="X101" s="14"/>
      <c r="Y101" s="15"/>
      <c r="Z101" s="14"/>
      <c r="AA101" s="15"/>
      <c r="AB101" s="14"/>
      <c r="AC101" s="15"/>
      <c r="AD101" s="14"/>
      <c r="AE101" s="15"/>
      <c r="AF101" s="14"/>
      <c r="AG101" s="15"/>
      <c r="AH101" s="15"/>
      <c r="AI101" s="11"/>
      <c r="AJ101" s="14"/>
      <c r="AK101" s="15"/>
      <c r="AL101" s="14"/>
      <c r="AM101" s="15"/>
      <c r="AN101" s="14"/>
      <c r="AO101" s="15"/>
      <c r="AP101" s="14"/>
      <c r="AQ101" s="15"/>
      <c r="AR101" s="14"/>
      <c r="AS101" s="15"/>
      <c r="AT101" s="14"/>
      <c r="AU101" s="15"/>
      <c r="AV101" s="14"/>
      <c r="AW101" s="10"/>
      <c r="AY101"/>
      <c r="BB101" s="69"/>
      <c r="BC101"/>
      <c r="BD101"/>
      <c r="BE101"/>
      <c r="BF101"/>
      <c r="BG101"/>
      <c r="BH101"/>
      <c r="BI101"/>
    </row>
    <row r="102" spans="1:62" x14ac:dyDescent="0.25">
      <c r="A102" s="22" t="s">
        <v>37</v>
      </c>
      <c r="B102" s="29"/>
      <c r="C102" s="5">
        <f>SUM(C99+C96+C93+C89+C85+C81+C76+C70+C64+C57+C50+C43+C36+C29+C12+C9+C5)</f>
        <v>230366254.79693165</v>
      </c>
      <c r="D102" s="66">
        <f>SUM(D50+D43+D36+D29+D12+D9)</f>
        <v>833843.47</v>
      </c>
      <c r="E102" s="5">
        <f t="shared" ref="E102:AW102" si="251">SUM(E99+E96+E93+E89+E85+E81+E76+E70+E64+E57+E50+E43+E36+E29+E12+E9+E5)</f>
        <v>115183127.39846583</v>
      </c>
      <c r="F102" s="5">
        <f t="shared" si="251"/>
        <v>46907094.42938634</v>
      </c>
      <c r="G102" s="5">
        <f t="shared" si="251"/>
        <v>69109876.439079493</v>
      </c>
      <c r="H102" s="5">
        <f t="shared" si="251"/>
        <v>2735681.1290330314</v>
      </c>
      <c r="I102" s="5">
        <f t="shared" si="251"/>
        <v>66374195.310046464</v>
      </c>
      <c r="J102" s="5">
        <f t="shared" si="251"/>
        <v>1115055.6826529182</v>
      </c>
      <c r="K102" s="5">
        <f t="shared" si="251"/>
        <v>2690618.469159584</v>
      </c>
      <c r="L102" s="5">
        <f t="shared" si="251"/>
        <v>1744535.0663918795</v>
      </c>
      <c r="M102" s="5">
        <f t="shared" si="251"/>
        <v>2441212.7568086185</v>
      </c>
      <c r="N102" s="5">
        <f t="shared" si="251"/>
        <v>3454303.8251619693</v>
      </c>
      <c r="O102" s="5">
        <f t="shared" si="251"/>
        <v>1818254.5271130854</v>
      </c>
      <c r="P102" s="5">
        <f t="shared" si="251"/>
        <v>1069549.0879818865</v>
      </c>
      <c r="Q102" s="5">
        <f t="shared" si="251"/>
        <v>555488.92633794341</v>
      </c>
      <c r="R102" s="5">
        <f t="shared" si="251"/>
        <v>2324802.7821671497</v>
      </c>
      <c r="S102" s="5">
        <f t="shared" si="251"/>
        <v>819938.94901666942</v>
      </c>
      <c r="T102" s="5">
        <f t="shared" si="251"/>
        <v>1308738.0051017881</v>
      </c>
      <c r="U102" s="5">
        <f t="shared" si="251"/>
        <v>967930.92879530904</v>
      </c>
      <c r="V102" s="5">
        <f t="shared" si="251"/>
        <v>2555030.8488588701</v>
      </c>
      <c r="W102" s="5">
        <f t="shared" si="251"/>
        <v>3316006.2373330197</v>
      </c>
      <c r="X102" s="5">
        <f t="shared" si="251"/>
        <v>145072.68808340264</v>
      </c>
      <c r="Y102" s="5">
        <f t="shared" si="251"/>
        <v>1394546.3879113859</v>
      </c>
      <c r="Z102" s="5">
        <f t="shared" si="251"/>
        <v>2884025.6229122216</v>
      </c>
      <c r="AA102" s="5">
        <f t="shared" si="251"/>
        <v>1435124.7959515904</v>
      </c>
      <c r="AB102" s="5">
        <f t="shared" si="251"/>
        <v>138999.56742497522</v>
      </c>
      <c r="AC102" s="5">
        <f t="shared" si="251"/>
        <v>2552381.1027707872</v>
      </c>
      <c r="AD102" s="5">
        <f t="shared" si="251"/>
        <v>4500238.6479451284</v>
      </c>
      <c r="AE102" s="5">
        <f t="shared" si="251"/>
        <v>846991.28151036496</v>
      </c>
      <c r="AF102" s="5">
        <f t="shared" si="251"/>
        <v>4780005.7917045588</v>
      </c>
      <c r="AG102" s="5">
        <f t="shared" si="251"/>
        <v>410484.44092618336</v>
      </c>
      <c r="AH102" s="5">
        <f t="shared" si="251"/>
        <v>289824.13435389189</v>
      </c>
      <c r="AI102" s="5">
        <f t="shared" si="251"/>
        <v>1308112.3908095707</v>
      </c>
      <c r="AJ102" s="5">
        <f t="shared" si="251"/>
        <v>1786011.1738745426</v>
      </c>
      <c r="AK102" s="5">
        <f t="shared" si="251"/>
        <v>1218880.4519625783</v>
      </c>
      <c r="AL102" s="5">
        <f t="shared" si="251"/>
        <v>2454331.7930670087</v>
      </c>
      <c r="AM102" s="5">
        <f t="shared" si="251"/>
        <v>1478551.2093366499</v>
      </c>
      <c r="AN102" s="5">
        <f t="shared" si="251"/>
        <v>44082.138463727577</v>
      </c>
      <c r="AO102" s="5">
        <f t="shared" si="251"/>
        <v>1641030.6319581277</v>
      </c>
      <c r="AP102" s="5">
        <f t="shared" si="251"/>
        <v>1792008.6548982402</v>
      </c>
      <c r="AQ102" s="5">
        <f t="shared" si="251"/>
        <v>1867292.6048516789</v>
      </c>
      <c r="AR102" s="5">
        <f t="shared" si="251"/>
        <v>168677.52104435788</v>
      </c>
      <c r="AS102" s="5">
        <f t="shared" si="251"/>
        <v>1023234.5820257218</v>
      </c>
      <c r="AT102" s="5">
        <f t="shared" si="251"/>
        <v>128466.06513239563</v>
      </c>
      <c r="AU102" s="5">
        <f t="shared" si="251"/>
        <v>4510159.9587990083</v>
      </c>
      <c r="AV102" s="5">
        <f t="shared" si="251"/>
        <v>1394195.579514049</v>
      </c>
      <c r="AW102" s="5">
        <f t="shared" si="251"/>
        <v>3455493.8219539747</v>
      </c>
      <c r="AX102" s="6"/>
      <c r="AY102"/>
      <c r="BB102" s="69"/>
      <c r="BC102"/>
      <c r="BD102"/>
      <c r="BE102"/>
      <c r="BF102"/>
      <c r="BG102"/>
      <c r="BH102"/>
      <c r="BI102"/>
    </row>
    <row r="103" spans="1:62" ht="15.75" customHeight="1" thickBot="1" x14ac:dyDescent="0.3">
      <c r="F103" s="2"/>
      <c r="I103" s="2"/>
      <c r="AI103" s="65"/>
      <c r="AW103" s="2"/>
      <c r="AY103"/>
      <c r="BB103" s="69"/>
      <c r="BC103"/>
      <c r="BD103"/>
      <c r="BE103"/>
      <c r="BF103"/>
      <c r="BG103"/>
      <c r="BH103"/>
      <c r="BI103"/>
    </row>
    <row r="104" spans="1:62" x14ac:dyDescent="0.25">
      <c r="A104" s="81" t="s">
        <v>38</v>
      </c>
      <c r="B104" s="82"/>
      <c r="F104" s="2"/>
      <c r="H104" s="2"/>
      <c r="AY104" s="67"/>
      <c r="BB104" s="69"/>
      <c r="BC104"/>
      <c r="BD104"/>
      <c r="BE104"/>
      <c r="BF104"/>
      <c r="BG104"/>
      <c r="BJ104" s="1"/>
    </row>
    <row r="105" spans="1:62" x14ac:dyDescent="0.25">
      <c r="A105" s="30" t="s">
        <v>39</v>
      </c>
      <c r="B105" s="31">
        <f>SUM(C6+C10+C22+C31+C38+C45+C52+C59+C66+C72)</f>
        <v>24602159.822212782</v>
      </c>
      <c r="G105" s="2"/>
      <c r="H105" s="2"/>
      <c r="I105" s="2"/>
      <c r="BB105" s="69"/>
      <c r="BC105"/>
      <c r="BD105"/>
      <c r="BE105"/>
      <c r="BF105"/>
      <c r="BG105"/>
      <c r="BJ105" s="1"/>
    </row>
    <row r="106" spans="1:62" x14ac:dyDescent="0.25">
      <c r="A106" s="30" t="s">
        <v>40</v>
      </c>
      <c r="B106" s="31">
        <f>SUM(C100+C98+C14+C95+C91+C87+C83+C79+C74+C68+C61+C54+C47+C40+C33+C13+C26+C11+C7+C8)</f>
        <v>105668370.13174111</v>
      </c>
      <c r="E106" s="2"/>
      <c r="H106" s="2"/>
      <c r="BB106" s="69"/>
      <c r="BC106"/>
      <c r="BD106"/>
      <c r="BE106"/>
      <c r="BF106"/>
      <c r="BG106"/>
      <c r="BJ106" s="1"/>
    </row>
    <row r="107" spans="1:62" x14ac:dyDescent="0.25">
      <c r="A107" s="30" t="s">
        <v>41</v>
      </c>
      <c r="B107" s="32">
        <f>C28+C27</f>
        <v>1783042.13</v>
      </c>
      <c r="BB107" s="69"/>
      <c r="BC107"/>
      <c r="BD107"/>
      <c r="BE107"/>
      <c r="BF107"/>
      <c r="BG107"/>
      <c r="BJ107" s="1"/>
    </row>
    <row r="108" spans="1:62" x14ac:dyDescent="0.25">
      <c r="A108" s="30" t="s">
        <v>42</v>
      </c>
      <c r="B108" s="32">
        <f>C15+C16</f>
        <v>14196305.760193501</v>
      </c>
      <c r="C108"/>
      <c r="D108"/>
      <c r="E108"/>
      <c r="F108"/>
      <c r="BB108" s="69"/>
      <c r="BC108"/>
      <c r="BD108"/>
      <c r="BE108"/>
      <c r="BF108"/>
      <c r="BG108"/>
      <c r="BJ108" s="1"/>
    </row>
    <row r="109" spans="1:62" x14ac:dyDescent="0.25">
      <c r="A109" s="30" t="s">
        <v>43</v>
      </c>
      <c r="B109" s="32">
        <f>SUM(C62+C55+C48+C34+C41+C24+C17)</f>
        <v>11290743.945915498</v>
      </c>
      <c r="C109"/>
      <c r="D109"/>
      <c r="E109"/>
      <c r="F109"/>
      <c r="BB109" s="69"/>
      <c r="BC109"/>
      <c r="BD109"/>
      <c r="BE109"/>
      <c r="BF109"/>
      <c r="BG109"/>
      <c r="BJ109" s="1"/>
    </row>
    <row r="110" spans="1:62" x14ac:dyDescent="0.25">
      <c r="A110" s="30" t="s">
        <v>44</v>
      </c>
      <c r="B110" s="32">
        <f>SUM(C92+C88+C84+C80+C75+C69+C63+C56+C49+C42+C35+C25+C18)</f>
        <v>20496278.647263065</v>
      </c>
      <c r="C110"/>
      <c r="D110"/>
      <c r="E110"/>
      <c r="F110"/>
      <c r="BB110" s="69"/>
      <c r="BC110"/>
      <c r="BD110"/>
      <c r="BE110"/>
      <c r="BF110"/>
      <c r="BG110"/>
      <c r="BJ110" s="1"/>
    </row>
    <row r="111" spans="1:62" x14ac:dyDescent="0.25">
      <c r="A111" s="30" t="s">
        <v>45</v>
      </c>
      <c r="B111" s="32">
        <f>SUM(C97+C94+C90+C86+C82+C77+C71+C65+C58+C44+C51+C37+C30+C20+C19)</f>
        <v>27260143.750137188</v>
      </c>
      <c r="C111"/>
      <c r="D111"/>
      <c r="E111"/>
      <c r="F111"/>
      <c r="BB111" s="69"/>
      <c r="BC111"/>
      <c r="BD111"/>
      <c r="BE111"/>
      <c r="BF111"/>
      <c r="BG111"/>
      <c r="BJ111" s="1"/>
    </row>
    <row r="112" spans="1:62" x14ac:dyDescent="0.25">
      <c r="A112" s="30" t="s">
        <v>46</v>
      </c>
      <c r="B112" s="31">
        <f>SUM(C78+C67+C73+C60++C53+C46+C39+C32+C23+C21)</f>
        <v>25069210.609468516</v>
      </c>
      <c r="C112"/>
      <c r="D112"/>
      <c r="E112"/>
      <c r="F112"/>
      <c r="BB112" s="69"/>
      <c r="BC112"/>
      <c r="BD112"/>
      <c r="BE112"/>
      <c r="BF112"/>
      <c r="BG112"/>
      <c r="BH112"/>
      <c r="BI112"/>
    </row>
    <row r="113" spans="1:61" x14ac:dyDescent="0.25">
      <c r="A113" s="30"/>
      <c r="B113" s="55">
        <f>SUM(B105:B112)</f>
        <v>230366254.79693165</v>
      </c>
      <c r="C113"/>
      <c r="D113"/>
      <c r="E113"/>
      <c r="F113"/>
      <c r="BB113" s="69"/>
      <c r="BC113"/>
      <c r="BD113"/>
      <c r="BE113"/>
      <c r="BF113"/>
      <c r="BG113"/>
      <c r="BH113"/>
      <c r="BI113"/>
    </row>
    <row r="114" spans="1:61" ht="15.75" thickBot="1" x14ac:dyDescent="0.3">
      <c r="A114" s="83" t="s">
        <v>47</v>
      </c>
      <c r="B114" s="84"/>
      <c r="C114"/>
      <c r="D114"/>
      <c r="E114"/>
      <c r="F114"/>
      <c r="BB114" s="69"/>
      <c r="BC114"/>
      <c r="BD114"/>
      <c r="BE114"/>
      <c r="BF114"/>
      <c r="BG114"/>
      <c r="BH114"/>
      <c r="BI114"/>
    </row>
    <row r="115" spans="1:61" ht="15.75" thickBot="1" x14ac:dyDescent="0.3">
      <c r="A115" s="33"/>
      <c r="C115"/>
      <c r="D115"/>
      <c r="E115"/>
      <c r="F115"/>
      <c r="AZ115" s="1"/>
      <c r="BB115" s="69"/>
      <c r="BC115"/>
    </row>
    <row r="116" spans="1:61" ht="77.25" customHeight="1" thickBot="1" x14ac:dyDescent="0.3">
      <c r="A116" s="85" t="s">
        <v>80</v>
      </c>
      <c r="B116" s="86"/>
      <c r="AZ116" s="1"/>
      <c r="BB116" s="69"/>
      <c r="BC116"/>
    </row>
    <row r="117" spans="1:61" ht="34.5" customHeight="1" thickBot="1" x14ac:dyDescent="0.3">
      <c r="A117" s="87" t="s">
        <v>108</v>
      </c>
      <c r="B117" s="86"/>
      <c r="AZ117" s="1"/>
      <c r="BB117" s="69"/>
      <c r="BC117"/>
    </row>
    <row r="118" spans="1:61" x14ac:dyDescent="0.25">
      <c r="BB118" s="69"/>
      <c r="BC118"/>
    </row>
    <row r="119" spans="1:61" x14ac:dyDescent="0.25">
      <c r="BB119" s="69"/>
      <c r="BC119"/>
    </row>
    <row r="120" spans="1:61" x14ac:dyDescent="0.25">
      <c r="BB120" s="69"/>
      <c r="BC120"/>
    </row>
    <row r="121" spans="1:61" x14ac:dyDescent="0.25">
      <c r="BB121" s="69"/>
      <c r="BC121"/>
    </row>
    <row r="122" spans="1:61" x14ac:dyDescent="0.25">
      <c r="BB122" s="69"/>
      <c r="BC122"/>
    </row>
    <row r="123" spans="1:61" x14ac:dyDescent="0.25">
      <c r="BB123" s="69"/>
      <c r="BC123"/>
    </row>
    <row r="124" spans="1:61" x14ac:dyDescent="0.25">
      <c r="A124" s="80"/>
      <c r="B124" s="80"/>
      <c r="C124" s="80"/>
      <c r="BB124" s="69"/>
      <c r="BC124"/>
    </row>
    <row r="125" spans="1:61" x14ac:dyDescent="0.25">
      <c r="A125" s="80"/>
      <c r="B125" s="80"/>
      <c r="C125" s="80"/>
      <c r="BB125" s="69"/>
      <c r="BC125"/>
    </row>
    <row r="126" spans="1:61" x14ac:dyDescent="0.25">
      <c r="A126" s="80"/>
      <c r="B126" s="80"/>
      <c r="C126" s="80"/>
      <c r="BB126" s="69"/>
      <c r="BC126"/>
    </row>
    <row r="127" spans="1:61" x14ac:dyDescent="0.25">
      <c r="A127" s="80"/>
      <c r="B127" s="80"/>
      <c r="C127" s="80"/>
      <c r="BB127" s="69"/>
      <c r="BC127"/>
    </row>
    <row r="128" spans="1:61" x14ac:dyDescent="0.25">
      <c r="BB128" s="69"/>
      <c r="BC128"/>
    </row>
    <row r="129" spans="54:55" x14ac:dyDescent="0.25">
      <c r="BB129" s="69"/>
      <c r="BC129"/>
    </row>
    <row r="130" spans="54:55" x14ac:dyDescent="0.25">
      <c r="BB130" s="69"/>
      <c r="BC130"/>
    </row>
    <row r="131" spans="54:55" x14ac:dyDescent="0.25">
      <c r="BB131" s="69"/>
      <c r="BC131"/>
    </row>
    <row r="132" spans="54:55" x14ac:dyDescent="0.25">
      <c r="BB132" s="69"/>
      <c r="BC132"/>
    </row>
    <row r="133" spans="54:55" x14ac:dyDescent="0.25">
      <c r="BB133" s="69"/>
      <c r="BC133"/>
    </row>
    <row r="134" spans="54:55" x14ac:dyDescent="0.25">
      <c r="BB134" s="69"/>
      <c r="BC134"/>
    </row>
    <row r="135" spans="54:55" x14ac:dyDescent="0.25">
      <c r="BB135" s="69"/>
      <c r="BC135"/>
    </row>
    <row r="136" spans="54:55" x14ac:dyDescent="0.25">
      <c r="BB136" s="69"/>
      <c r="BC136"/>
    </row>
    <row r="137" spans="54:55" x14ac:dyDescent="0.25">
      <c r="BB137" s="69"/>
      <c r="BC137"/>
    </row>
    <row r="138" spans="54:55" x14ac:dyDescent="0.25">
      <c r="BB138" s="69"/>
      <c r="BC138"/>
    </row>
    <row r="139" spans="54:55" x14ac:dyDescent="0.25">
      <c r="BB139" s="69"/>
      <c r="BC139"/>
    </row>
    <row r="140" spans="54:55" x14ac:dyDescent="0.25">
      <c r="BB140" s="69"/>
      <c r="BC140"/>
    </row>
    <row r="141" spans="54:55" x14ac:dyDescent="0.25">
      <c r="BB141" s="69"/>
      <c r="BC141"/>
    </row>
    <row r="142" spans="54:55" x14ac:dyDescent="0.25">
      <c r="BB142" s="69"/>
      <c r="BC142"/>
    </row>
    <row r="143" spans="54:55" x14ac:dyDescent="0.25">
      <c r="BB143" s="69"/>
      <c r="BC143"/>
    </row>
    <row r="144" spans="54:55" x14ac:dyDescent="0.25">
      <c r="BB144" s="69"/>
      <c r="BC144"/>
    </row>
    <row r="145" spans="54:55" x14ac:dyDescent="0.25">
      <c r="BB145" s="69"/>
      <c r="BC145"/>
    </row>
    <row r="146" spans="54:55" x14ac:dyDescent="0.25">
      <c r="BB146" s="69"/>
      <c r="BC146"/>
    </row>
    <row r="147" spans="54:55" x14ac:dyDescent="0.25">
      <c r="BB147" s="69"/>
      <c r="BC147"/>
    </row>
    <row r="148" spans="54:55" x14ac:dyDescent="0.25">
      <c r="BB148" s="69"/>
      <c r="BC148"/>
    </row>
    <row r="149" spans="54:55" x14ac:dyDescent="0.25">
      <c r="BB149" s="69"/>
      <c r="BC149"/>
    </row>
    <row r="150" spans="54:55" x14ac:dyDescent="0.25">
      <c r="BB150" s="69"/>
      <c r="BC150"/>
    </row>
    <row r="151" spans="54:55" x14ac:dyDescent="0.25">
      <c r="BB151" s="69"/>
      <c r="BC151"/>
    </row>
    <row r="152" spans="54:55" x14ac:dyDescent="0.25">
      <c r="BB152" s="69"/>
      <c r="BC152"/>
    </row>
    <row r="153" spans="54:55" x14ac:dyDescent="0.25">
      <c r="BB153" s="69"/>
      <c r="BC153"/>
    </row>
    <row r="154" spans="54:55" x14ac:dyDescent="0.25">
      <c r="BB154" s="69"/>
      <c r="BC154"/>
    </row>
    <row r="155" spans="54:55" x14ac:dyDescent="0.25">
      <c r="BB155" s="69"/>
      <c r="BC155"/>
    </row>
    <row r="156" spans="54:55" x14ac:dyDescent="0.25">
      <c r="BB156" s="69"/>
      <c r="BC156"/>
    </row>
    <row r="157" spans="54:55" x14ac:dyDescent="0.25">
      <c r="BB157" s="69"/>
      <c r="BC157"/>
    </row>
    <row r="158" spans="54:55" x14ac:dyDescent="0.25">
      <c r="BB158" s="69"/>
      <c r="BC158"/>
    </row>
    <row r="159" spans="54:55" x14ac:dyDescent="0.25">
      <c r="BB159" s="69"/>
      <c r="BC159"/>
    </row>
    <row r="160" spans="54:55" x14ac:dyDescent="0.25">
      <c r="BB160" s="69"/>
      <c r="BC160"/>
    </row>
    <row r="161" spans="54:55" x14ac:dyDescent="0.25">
      <c r="BB161" s="69"/>
      <c r="BC161"/>
    </row>
    <row r="162" spans="54:55" x14ac:dyDescent="0.25">
      <c r="BB162" s="69"/>
      <c r="BC162"/>
    </row>
    <row r="163" spans="54:55" x14ac:dyDescent="0.25">
      <c r="BB163" s="69"/>
      <c r="BC163"/>
    </row>
    <row r="164" spans="54:55" x14ac:dyDescent="0.25">
      <c r="BB164" s="69"/>
      <c r="BC164"/>
    </row>
    <row r="165" spans="54:55" x14ac:dyDescent="0.25">
      <c r="BB165" s="69"/>
      <c r="BC165"/>
    </row>
    <row r="166" spans="54:55" x14ac:dyDescent="0.25">
      <c r="BB166" s="69"/>
      <c r="BC166"/>
    </row>
    <row r="167" spans="54:55" x14ac:dyDescent="0.25">
      <c r="BB167" s="69"/>
      <c r="BC167"/>
    </row>
    <row r="168" spans="54:55" x14ac:dyDescent="0.25">
      <c r="BB168" s="69"/>
      <c r="BC168"/>
    </row>
    <row r="169" spans="54:55" x14ac:dyDescent="0.25">
      <c r="BB169" s="69"/>
      <c r="BC169"/>
    </row>
    <row r="170" spans="54:55" x14ac:dyDescent="0.25">
      <c r="BB170" s="69"/>
      <c r="BC170"/>
    </row>
    <row r="171" spans="54:55" x14ac:dyDescent="0.25">
      <c r="BB171" s="69"/>
      <c r="BC171"/>
    </row>
    <row r="172" spans="54:55" x14ac:dyDescent="0.25">
      <c r="BB172" s="69"/>
      <c r="BC172"/>
    </row>
    <row r="173" spans="54:55" x14ac:dyDescent="0.25">
      <c r="BB173" s="69"/>
      <c r="BC173"/>
    </row>
    <row r="174" spans="54:55" x14ac:dyDescent="0.25">
      <c r="BB174" s="69"/>
      <c r="BC174"/>
    </row>
    <row r="175" spans="54:55" x14ac:dyDescent="0.25">
      <c r="BB175" s="69"/>
      <c r="BC175"/>
    </row>
    <row r="176" spans="54:55" x14ac:dyDescent="0.25">
      <c r="BB176" s="69"/>
      <c r="BC176"/>
    </row>
    <row r="177" spans="54:55" x14ac:dyDescent="0.25">
      <c r="BB177" s="69"/>
      <c r="BC177"/>
    </row>
    <row r="178" spans="54:55" x14ac:dyDescent="0.25">
      <c r="BB178" s="69"/>
      <c r="BC178"/>
    </row>
    <row r="179" spans="54:55" x14ac:dyDescent="0.25">
      <c r="BB179" s="69"/>
      <c r="BC179"/>
    </row>
    <row r="180" spans="54:55" x14ac:dyDescent="0.25">
      <c r="BB180" s="69"/>
      <c r="BC180"/>
    </row>
    <row r="181" spans="54:55" x14ac:dyDescent="0.25">
      <c r="BB181" s="69"/>
      <c r="BC181"/>
    </row>
    <row r="182" spans="54:55" x14ac:dyDescent="0.25">
      <c r="BB182" s="69"/>
      <c r="BC182"/>
    </row>
    <row r="183" spans="54:55" x14ac:dyDescent="0.25">
      <c r="BB183" s="69"/>
      <c r="BC183"/>
    </row>
    <row r="184" spans="54:55" x14ac:dyDescent="0.25">
      <c r="BB184" s="69"/>
      <c r="BC184"/>
    </row>
    <row r="185" spans="54:55" x14ac:dyDescent="0.25">
      <c r="BB185" s="69"/>
      <c r="BC185"/>
    </row>
    <row r="186" spans="54:55" x14ac:dyDescent="0.25">
      <c r="BB186" s="69"/>
      <c r="BC186"/>
    </row>
    <row r="187" spans="54:55" x14ac:dyDescent="0.25">
      <c r="BB187" s="69"/>
      <c r="BC187"/>
    </row>
    <row r="188" spans="54:55" x14ac:dyDescent="0.25">
      <c r="BB188" s="69"/>
      <c r="BC188"/>
    </row>
    <row r="189" spans="54:55" x14ac:dyDescent="0.25">
      <c r="BB189" s="69"/>
      <c r="BC189"/>
    </row>
    <row r="190" spans="54:55" x14ac:dyDescent="0.25">
      <c r="BB190" s="69"/>
      <c r="BC190"/>
    </row>
    <row r="191" spans="54:55" x14ac:dyDescent="0.25">
      <c r="BB191" s="69"/>
      <c r="BC191"/>
    </row>
    <row r="192" spans="54:55" x14ac:dyDescent="0.25">
      <c r="BB192" s="69"/>
      <c r="BC192"/>
    </row>
    <row r="193" spans="54:55" x14ac:dyDescent="0.25">
      <c r="BB193" s="69"/>
      <c r="BC193"/>
    </row>
    <row r="194" spans="54:55" x14ac:dyDescent="0.25">
      <c r="BB194" s="69"/>
      <c r="BC194"/>
    </row>
    <row r="195" spans="54:55" x14ac:dyDescent="0.25">
      <c r="BB195" s="69"/>
      <c r="BC195"/>
    </row>
    <row r="196" spans="54:55" x14ac:dyDescent="0.25">
      <c r="BB196" s="69"/>
      <c r="BC196"/>
    </row>
    <row r="197" spans="54:55" x14ac:dyDescent="0.25">
      <c r="BB197" s="69"/>
      <c r="BC197"/>
    </row>
    <row r="198" spans="54:55" x14ac:dyDescent="0.25">
      <c r="BB198" s="69"/>
      <c r="BC198"/>
    </row>
    <row r="199" spans="54:55" x14ac:dyDescent="0.25">
      <c r="BB199" s="69"/>
      <c r="BC199"/>
    </row>
    <row r="200" spans="54:55" x14ac:dyDescent="0.25">
      <c r="BB200" s="69"/>
      <c r="BC200"/>
    </row>
    <row r="201" spans="54:55" x14ac:dyDescent="0.25">
      <c r="BB201" s="69"/>
      <c r="BC201"/>
    </row>
    <row r="202" spans="54:55" x14ac:dyDescent="0.25">
      <c r="BB202" s="69"/>
      <c r="BC202"/>
    </row>
    <row r="203" spans="54:55" x14ac:dyDescent="0.25">
      <c r="BB203" s="69"/>
      <c r="BC203"/>
    </row>
    <row r="204" spans="54:55" x14ac:dyDescent="0.25">
      <c r="BB204" s="69"/>
      <c r="BC204"/>
    </row>
    <row r="205" spans="54:55" x14ac:dyDescent="0.25">
      <c r="BB205" s="69"/>
      <c r="BC205"/>
    </row>
    <row r="206" spans="54:55" x14ac:dyDescent="0.25">
      <c r="BB206" s="69"/>
      <c r="BC206"/>
    </row>
    <row r="207" spans="54:55" x14ac:dyDescent="0.25">
      <c r="BB207" s="69"/>
      <c r="BC207"/>
    </row>
    <row r="208" spans="54:55" x14ac:dyDescent="0.25">
      <c r="BB208" s="69"/>
      <c r="BC208"/>
    </row>
    <row r="209" spans="54:55" x14ac:dyDescent="0.25">
      <c r="BB209" s="69"/>
      <c r="BC209"/>
    </row>
    <row r="210" spans="54:55" x14ac:dyDescent="0.25">
      <c r="BB210" s="69"/>
      <c r="BC210"/>
    </row>
    <row r="211" spans="54:55" x14ac:dyDescent="0.25">
      <c r="BB211" s="69"/>
      <c r="BC211"/>
    </row>
    <row r="212" spans="54:55" x14ac:dyDescent="0.25">
      <c r="BB212" s="69"/>
      <c r="BC212"/>
    </row>
    <row r="213" spans="54:55" x14ac:dyDescent="0.25">
      <c r="BB213" s="69"/>
      <c r="BC213"/>
    </row>
    <row r="214" spans="54:55" x14ac:dyDescent="0.25">
      <c r="BB214" s="69"/>
      <c r="BC214"/>
    </row>
    <row r="215" spans="54:55" x14ac:dyDescent="0.25">
      <c r="BB215" s="69"/>
      <c r="BC215"/>
    </row>
    <row r="216" spans="54:55" x14ac:dyDescent="0.25">
      <c r="BB216" s="69"/>
      <c r="BC216"/>
    </row>
    <row r="217" spans="54:55" x14ac:dyDescent="0.25">
      <c r="BB217" s="69"/>
      <c r="BC217"/>
    </row>
    <row r="218" spans="54:55" x14ac:dyDescent="0.25">
      <c r="BB218" s="69"/>
      <c r="BC218"/>
    </row>
    <row r="219" spans="54:55" x14ac:dyDescent="0.25">
      <c r="BB219" s="69"/>
      <c r="BC219"/>
    </row>
    <row r="220" spans="54:55" x14ac:dyDescent="0.25">
      <c r="BB220" s="69"/>
      <c r="BC220"/>
    </row>
    <row r="221" spans="54:55" x14ac:dyDescent="0.25">
      <c r="BB221" s="69"/>
      <c r="BC221"/>
    </row>
    <row r="222" spans="54:55" x14ac:dyDescent="0.25">
      <c r="BB222" s="69"/>
      <c r="BC222"/>
    </row>
    <row r="223" spans="54:55" x14ac:dyDescent="0.25">
      <c r="BB223" s="69"/>
      <c r="BC223"/>
    </row>
    <row r="224" spans="54:55" x14ac:dyDescent="0.25">
      <c r="BB224" s="69"/>
      <c r="BC224"/>
    </row>
    <row r="225" spans="54:55" x14ac:dyDescent="0.25">
      <c r="BB225" s="69"/>
      <c r="BC225"/>
    </row>
    <row r="226" spans="54:55" x14ac:dyDescent="0.25">
      <c r="BB226" s="69"/>
      <c r="BC226"/>
    </row>
    <row r="227" spans="54:55" x14ac:dyDescent="0.25">
      <c r="BB227" s="69"/>
      <c r="BC227"/>
    </row>
    <row r="228" spans="54:55" x14ac:dyDescent="0.25">
      <c r="BB228" s="69"/>
      <c r="BC228"/>
    </row>
    <row r="229" spans="54:55" x14ac:dyDescent="0.25">
      <c r="BB229" s="69"/>
      <c r="BC229"/>
    </row>
    <row r="230" spans="54:55" x14ac:dyDescent="0.25">
      <c r="BB230" s="69"/>
      <c r="BC230"/>
    </row>
    <row r="231" spans="54:55" x14ac:dyDescent="0.25">
      <c r="BB231" s="69"/>
      <c r="BC231"/>
    </row>
    <row r="232" spans="54:55" x14ac:dyDescent="0.25">
      <c r="BB232" s="69"/>
      <c r="BC232"/>
    </row>
    <row r="233" spans="54:55" x14ac:dyDescent="0.25">
      <c r="BB233" s="69"/>
      <c r="BC233"/>
    </row>
    <row r="234" spans="54:55" x14ac:dyDescent="0.25">
      <c r="BB234" s="69"/>
      <c r="BC234"/>
    </row>
    <row r="235" spans="54:55" x14ac:dyDescent="0.25">
      <c r="BB235" s="69"/>
      <c r="BC235"/>
    </row>
    <row r="236" spans="54:55" x14ac:dyDescent="0.25">
      <c r="BB236" s="69"/>
      <c r="BC236"/>
    </row>
    <row r="237" spans="54:55" x14ac:dyDescent="0.25">
      <c r="BB237" s="69"/>
      <c r="BC237"/>
    </row>
    <row r="238" spans="54:55" x14ac:dyDescent="0.25">
      <c r="BB238" s="69"/>
      <c r="BC238"/>
    </row>
    <row r="239" spans="54:55" x14ac:dyDescent="0.25">
      <c r="BB239" s="69"/>
      <c r="BC239"/>
    </row>
    <row r="240" spans="54:55" x14ac:dyDescent="0.25">
      <c r="BB240" s="69"/>
      <c r="BC240"/>
    </row>
    <row r="241" spans="54:55" x14ac:dyDescent="0.25">
      <c r="BB241" s="69"/>
      <c r="BC241"/>
    </row>
    <row r="242" spans="54:55" x14ac:dyDescent="0.25">
      <c r="BB242" s="69"/>
      <c r="BC242"/>
    </row>
    <row r="243" spans="54:55" x14ac:dyDescent="0.25">
      <c r="BB243" s="69"/>
      <c r="BC243"/>
    </row>
    <row r="244" spans="54:55" x14ac:dyDescent="0.25">
      <c r="BB244" s="69"/>
      <c r="BC244"/>
    </row>
    <row r="245" spans="54:55" x14ac:dyDescent="0.25">
      <c r="BB245" s="69"/>
      <c r="BC245"/>
    </row>
    <row r="246" spans="54:55" x14ac:dyDescent="0.25">
      <c r="BB246" s="69"/>
      <c r="BC246"/>
    </row>
    <row r="247" spans="54:55" x14ac:dyDescent="0.25">
      <c r="BB247" s="69"/>
      <c r="BC247"/>
    </row>
    <row r="248" spans="54:55" x14ac:dyDescent="0.25">
      <c r="BB248" s="69"/>
      <c r="BC248"/>
    </row>
    <row r="249" spans="54:55" x14ac:dyDescent="0.25">
      <c r="BB249" s="69"/>
      <c r="BC249"/>
    </row>
    <row r="250" spans="54:55" x14ac:dyDescent="0.25">
      <c r="BB250" s="69"/>
      <c r="BC250"/>
    </row>
    <row r="251" spans="54:55" x14ac:dyDescent="0.25">
      <c r="BB251" s="69"/>
      <c r="BC251"/>
    </row>
    <row r="252" spans="54:55" x14ac:dyDescent="0.25">
      <c r="BB252" s="69"/>
      <c r="BC252"/>
    </row>
    <row r="253" spans="54:55" x14ac:dyDescent="0.25">
      <c r="BB253" s="69"/>
      <c r="BC253"/>
    </row>
    <row r="254" spans="54:55" x14ac:dyDescent="0.25">
      <c r="BB254" s="69"/>
      <c r="BC254"/>
    </row>
    <row r="255" spans="54:55" x14ac:dyDescent="0.25">
      <c r="BB255" s="69"/>
      <c r="BC255"/>
    </row>
    <row r="256" spans="54:55" x14ac:dyDescent="0.25">
      <c r="BB256" s="69"/>
      <c r="BC256"/>
    </row>
    <row r="257" spans="54:55" x14ac:dyDescent="0.25">
      <c r="BB257" s="69"/>
      <c r="BC257"/>
    </row>
    <row r="258" spans="54:55" x14ac:dyDescent="0.25">
      <c r="BB258" s="69"/>
      <c r="BC258"/>
    </row>
    <row r="259" spans="54:55" x14ac:dyDescent="0.25">
      <c r="BB259" s="69"/>
      <c r="BC259"/>
    </row>
    <row r="260" spans="54:55" x14ac:dyDescent="0.25">
      <c r="BB260" s="69"/>
      <c r="BC260"/>
    </row>
    <row r="261" spans="54:55" x14ac:dyDescent="0.25">
      <c r="BB261" s="69"/>
      <c r="BC261"/>
    </row>
    <row r="262" spans="54:55" x14ac:dyDescent="0.25">
      <c r="BB262" s="69"/>
      <c r="BC262"/>
    </row>
    <row r="263" spans="54:55" x14ac:dyDescent="0.25">
      <c r="BB263" s="69"/>
      <c r="BC263"/>
    </row>
    <row r="264" spans="54:55" x14ac:dyDescent="0.25">
      <c r="BB264" s="69"/>
      <c r="BC264"/>
    </row>
    <row r="265" spans="54:55" x14ac:dyDescent="0.25">
      <c r="BB265" s="69"/>
      <c r="BC265"/>
    </row>
    <row r="266" spans="54:55" x14ac:dyDescent="0.25">
      <c r="BB266" s="69"/>
      <c r="BC266"/>
    </row>
    <row r="267" spans="54:55" x14ac:dyDescent="0.25">
      <c r="BB267" s="69"/>
      <c r="BC267"/>
    </row>
    <row r="268" spans="54:55" x14ac:dyDescent="0.25">
      <c r="BB268" s="69"/>
      <c r="BC268"/>
    </row>
    <row r="269" spans="54:55" x14ac:dyDescent="0.25">
      <c r="BB269" s="69"/>
      <c r="BC269"/>
    </row>
    <row r="270" spans="54:55" x14ac:dyDescent="0.25">
      <c r="BB270" s="69"/>
      <c r="BC270"/>
    </row>
    <row r="271" spans="54:55" x14ac:dyDescent="0.25">
      <c r="BB271" s="69"/>
      <c r="BC271"/>
    </row>
    <row r="272" spans="54:55" x14ac:dyDescent="0.25">
      <c r="BB272" s="69"/>
      <c r="BC272"/>
    </row>
    <row r="273" spans="54:55" x14ac:dyDescent="0.25">
      <c r="BB273" s="69"/>
      <c r="BC273"/>
    </row>
    <row r="274" spans="54:55" x14ac:dyDescent="0.25">
      <c r="BB274" s="69"/>
      <c r="BC274"/>
    </row>
    <row r="275" spans="54:55" x14ac:dyDescent="0.25">
      <c r="BB275" s="69"/>
      <c r="BC275"/>
    </row>
    <row r="276" spans="54:55" x14ac:dyDescent="0.25">
      <c r="BB276" s="69"/>
      <c r="BC276"/>
    </row>
    <row r="277" spans="54:55" x14ac:dyDescent="0.25">
      <c r="BB277" s="69"/>
      <c r="BC277"/>
    </row>
    <row r="278" spans="54:55" x14ac:dyDescent="0.25">
      <c r="BB278" s="69"/>
      <c r="BC278"/>
    </row>
    <row r="279" spans="54:55" x14ac:dyDescent="0.25">
      <c r="BB279" s="69"/>
      <c r="BC279"/>
    </row>
    <row r="280" spans="54:55" x14ac:dyDescent="0.25">
      <c r="BB280" s="69"/>
      <c r="BC280"/>
    </row>
    <row r="281" spans="54:55" x14ac:dyDescent="0.25">
      <c r="BB281" s="69"/>
      <c r="BC281"/>
    </row>
    <row r="282" spans="54:55" x14ac:dyDescent="0.25">
      <c r="BB282" s="69"/>
      <c r="BC282"/>
    </row>
    <row r="283" spans="54:55" x14ac:dyDescent="0.25">
      <c r="BB283" s="69"/>
      <c r="BC283"/>
    </row>
    <row r="284" spans="54:55" x14ac:dyDescent="0.25">
      <c r="BB284" s="69"/>
      <c r="BC284"/>
    </row>
    <row r="285" spans="54:55" x14ac:dyDescent="0.25">
      <c r="BB285" s="69"/>
      <c r="BC285"/>
    </row>
    <row r="286" spans="54:55" x14ac:dyDescent="0.25">
      <c r="BB286" s="69"/>
      <c r="BC286"/>
    </row>
    <row r="287" spans="54:55" x14ac:dyDescent="0.25">
      <c r="BB287" s="69"/>
      <c r="BC287"/>
    </row>
    <row r="288" spans="54:55" x14ac:dyDescent="0.25">
      <c r="BB288" s="69"/>
      <c r="BC288"/>
    </row>
    <row r="289" spans="54:55" x14ac:dyDescent="0.25">
      <c r="BB289" s="69"/>
      <c r="BC289"/>
    </row>
    <row r="290" spans="54:55" x14ac:dyDescent="0.25">
      <c r="BB290" s="69"/>
      <c r="BC290"/>
    </row>
    <row r="291" spans="54:55" x14ac:dyDescent="0.25">
      <c r="BB291" s="69"/>
      <c r="BC291"/>
    </row>
    <row r="292" spans="54:55" x14ac:dyDescent="0.25">
      <c r="BB292" s="69"/>
      <c r="BC292"/>
    </row>
    <row r="293" spans="54:55" x14ac:dyDescent="0.25">
      <c r="BB293" s="69"/>
      <c r="BC293"/>
    </row>
    <row r="294" spans="54:55" x14ac:dyDescent="0.25">
      <c r="BB294" s="69"/>
      <c r="BC294"/>
    </row>
    <row r="295" spans="54:55" x14ac:dyDescent="0.25">
      <c r="BB295" s="69"/>
      <c r="BC295"/>
    </row>
    <row r="296" spans="54:55" x14ac:dyDescent="0.25">
      <c r="BB296" s="69"/>
      <c r="BC296"/>
    </row>
    <row r="297" spans="54:55" x14ac:dyDescent="0.25">
      <c r="BB297" s="69"/>
      <c r="BC297"/>
    </row>
    <row r="298" spans="54:55" x14ac:dyDescent="0.25">
      <c r="BB298" s="69"/>
      <c r="BC298"/>
    </row>
    <row r="299" spans="54:55" x14ac:dyDescent="0.25">
      <c r="BB299" s="69"/>
      <c r="BC299"/>
    </row>
    <row r="300" spans="54:55" x14ac:dyDescent="0.25">
      <c r="BB300" s="69"/>
      <c r="BC300"/>
    </row>
    <row r="301" spans="54:55" x14ac:dyDescent="0.25">
      <c r="BB301" s="69"/>
      <c r="BC301"/>
    </row>
    <row r="302" spans="54:55" x14ac:dyDescent="0.25">
      <c r="BB302" s="69"/>
      <c r="BC302"/>
    </row>
    <row r="303" spans="54:55" x14ac:dyDescent="0.25">
      <c r="BB303" s="69"/>
      <c r="BC303"/>
    </row>
    <row r="304" spans="54:55" x14ac:dyDescent="0.25">
      <c r="BB304" s="69"/>
      <c r="BC304"/>
    </row>
    <row r="305" spans="54:55" x14ac:dyDescent="0.25">
      <c r="BB305" s="69"/>
      <c r="BC305"/>
    </row>
    <row r="306" spans="54:55" x14ac:dyDescent="0.25">
      <c r="BB306" s="69"/>
      <c r="BC306"/>
    </row>
    <row r="307" spans="54:55" x14ac:dyDescent="0.25">
      <c r="BB307" s="69"/>
      <c r="BC307"/>
    </row>
    <row r="308" spans="54:55" x14ac:dyDescent="0.25">
      <c r="BB308" s="69"/>
      <c r="BC308"/>
    </row>
    <row r="309" spans="54:55" x14ac:dyDescent="0.25">
      <c r="BB309" s="69"/>
      <c r="BC309"/>
    </row>
    <row r="310" spans="54:55" x14ac:dyDescent="0.25">
      <c r="BB310" s="69"/>
      <c r="BC310"/>
    </row>
    <row r="311" spans="54:55" x14ac:dyDescent="0.25">
      <c r="BB311" s="69"/>
      <c r="BC311"/>
    </row>
    <row r="312" spans="54:55" x14ac:dyDescent="0.25">
      <c r="BB312" s="69"/>
      <c r="BC312"/>
    </row>
    <row r="313" spans="54:55" x14ac:dyDescent="0.25">
      <c r="BB313" s="69"/>
      <c r="BC313"/>
    </row>
    <row r="314" spans="54:55" x14ac:dyDescent="0.25">
      <c r="BB314" s="69"/>
      <c r="BC314"/>
    </row>
    <row r="315" spans="54:55" x14ac:dyDescent="0.25">
      <c r="BB315" s="69"/>
      <c r="BC315"/>
    </row>
    <row r="316" spans="54:55" x14ac:dyDescent="0.25">
      <c r="BB316" s="69"/>
      <c r="BC316"/>
    </row>
    <row r="317" spans="54:55" x14ac:dyDescent="0.25">
      <c r="BB317" s="69"/>
      <c r="BC317"/>
    </row>
    <row r="318" spans="54:55" x14ac:dyDescent="0.25">
      <c r="BB318" s="69"/>
      <c r="BC318"/>
    </row>
    <row r="319" spans="54:55" x14ac:dyDescent="0.25">
      <c r="BB319" s="69"/>
      <c r="BC319"/>
    </row>
    <row r="320" spans="54:55" x14ac:dyDescent="0.25">
      <c r="BB320" s="69"/>
      <c r="BC320"/>
    </row>
    <row r="321" spans="54:55" x14ac:dyDescent="0.25">
      <c r="BB321" s="69"/>
      <c r="BC321"/>
    </row>
    <row r="322" spans="54:55" x14ac:dyDescent="0.25">
      <c r="BB322" s="69"/>
      <c r="BC322"/>
    </row>
    <row r="323" spans="54:55" x14ac:dyDescent="0.25">
      <c r="BB323" s="69"/>
      <c r="BC323"/>
    </row>
    <row r="324" spans="54:55" x14ac:dyDescent="0.25">
      <c r="BB324" s="69"/>
      <c r="BC324"/>
    </row>
    <row r="325" spans="54:55" x14ac:dyDescent="0.25">
      <c r="BB325" s="69"/>
      <c r="BC325"/>
    </row>
    <row r="326" spans="54:55" x14ac:dyDescent="0.25">
      <c r="BB326" s="69"/>
      <c r="BC326"/>
    </row>
    <row r="327" spans="54:55" x14ac:dyDescent="0.25">
      <c r="BB327" s="69"/>
      <c r="BC327"/>
    </row>
    <row r="328" spans="54:55" x14ac:dyDescent="0.25">
      <c r="BB328" s="69"/>
      <c r="BC328"/>
    </row>
    <row r="329" spans="54:55" x14ac:dyDescent="0.25">
      <c r="BB329" s="69"/>
      <c r="BC329"/>
    </row>
    <row r="330" spans="54:55" x14ac:dyDescent="0.25">
      <c r="BB330" s="69"/>
      <c r="BC330"/>
    </row>
    <row r="331" spans="54:55" x14ac:dyDescent="0.25">
      <c r="BB331" s="69"/>
      <c r="BC331"/>
    </row>
    <row r="332" spans="54:55" x14ac:dyDescent="0.25">
      <c r="BB332" s="69"/>
      <c r="BC332"/>
    </row>
    <row r="333" spans="54:55" x14ac:dyDescent="0.25">
      <c r="BB333" s="69"/>
      <c r="BC333"/>
    </row>
    <row r="334" spans="54:55" x14ac:dyDescent="0.25">
      <c r="BB334" s="69"/>
      <c r="BC334"/>
    </row>
    <row r="335" spans="54:55" x14ac:dyDescent="0.25">
      <c r="BB335" s="69"/>
      <c r="BC335"/>
    </row>
    <row r="336" spans="54:55" x14ac:dyDescent="0.25">
      <c r="BB336" s="69"/>
      <c r="BC336"/>
    </row>
    <row r="337" spans="54:55" x14ac:dyDescent="0.25">
      <c r="BB337" s="69"/>
      <c r="BC337"/>
    </row>
    <row r="338" spans="54:55" x14ac:dyDescent="0.25">
      <c r="BB338" s="69"/>
      <c r="BC338"/>
    </row>
    <row r="339" spans="54:55" x14ac:dyDescent="0.25">
      <c r="BB339" s="69"/>
      <c r="BC339"/>
    </row>
    <row r="340" spans="54:55" x14ac:dyDescent="0.25">
      <c r="BB340" s="69"/>
      <c r="BC340"/>
    </row>
    <row r="341" spans="54:55" x14ac:dyDescent="0.25">
      <c r="BB341" s="69"/>
      <c r="BC341"/>
    </row>
    <row r="342" spans="54:55" x14ac:dyDescent="0.25">
      <c r="BB342" s="69"/>
      <c r="BC342"/>
    </row>
    <row r="343" spans="54:55" x14ac:dyDescent="0.25">
      <c r="BB343" s="69"/>
      <c r="BC343"/>
    </row>
    <row r="344" spans="54:55" x14ac:dyDescent="0.25">
      <c r="BB344" s="69"/>
      <c r="BC344"/>
    </row>
    <row r="345" spans="54:55" x14ac:dyDescent="0.25">
      <c r="BB345" s="69"/>
      <c r="BC345"/>
    </row>
    <row r="346" spans="54:55" x14ac:dyDescent="0.25">
      <c r="BB346" s="69"/>
      <c r="BC346"/>
    </row>
    <row r="347" spans="54:55" x14ac:dyDescent="0.25">
      <c r="BB347" s="69"/>
      <c r="BC347"/>
    </row>
    <row r="348" spans="54:55" x14ac:dyDescent="0.25">
      <c r="BB348" s="69"/>
      <c r="BC348"/>
    </row>
    <row r="349" spans="54:55" x14ac:dyDescent="0.25">
      <c r="BB349" s="69"/>
      <c r="BC349"/>
    </row>
    <row r="350" spans="54:55" x14ac:dyDescent="0.25">
      <c r="BB350" s="69"/>
      <c r="BC350"/>
    </row>
    <row r="351" spans="54:55" x14ac:dyDescent="0.25">
      <c r="BB351" s="69"/>
      <c r="BC351"/>
    </row>
    <row r="352" spans="54:55" x14ac:dyDescent="0.25">
      <c r="BB352" s="69"/>
      <c r="BC352"/>
    </row>
    <row r="353" spans="54:55" x14ac:dyDescent="0.25">
      <c r="BB353" s="69"/>
      <c r="BC353"/>
    </row>
    <row r="354" spans="54:55" x14ac:dyDescent="0.25">
      <c r="BB354" s="69"/>
      <c r="BC354"/>
    </row>
    <row r="355" spans="54:55" x14ac:dyDescent="0.25">
      <c r="BB355" s="69"/>
      <c r="BC355"/>
    </row>
    <row r="356" spans="54:55" x14ac:dyDescent="0.25">
      <c r="BB356" s="69"/>
      <c r="BC356"/>
    </row>
    <row r="357" spans="54:55" x14ac:dyDescent="0.25">
      <c r="BB357" s="69"/>
      <c r="BC357"/>
    </row>
    <row r="358" spans="54:55" x14ac:dyDescent="0.25">
      <c r="BB358" s="69"/>
      <c r="BC358"/>
    </row>
    <row r="359" spans="54:55" x14ac:dyDescent="0.25">
      <c r="BB359" s="69"/>
      <c r="BC359"/>
    </row>
    <row r="360" spans="54:55" x14ac:dyDescent="0.25">
      <c r="BB360" s="69"/>
      <c r="BC360"/>
    </row>
    <row r="361" spans="54:55" x14ac:dyDescent="0.25">
      <c r="BB361" s="69"/>
      <c r="BC361"/>
    </row>
    <row r="362" spans="54:55" x14ac:dyDescent="0.25">
      <c r="BB362" s="69"/>
      <c r="BC362"/>
    </row>
    <row r="363" spans="54:55" x14ac:dyDescent="0.25">
      <c r="BB363" s="69"/>
      <c r="BC363"/>
    </row>
    <row r="364" spans="54:55" x14ac:dyDescent="0.25">
      <c r="BB364" s="69"/>
      <c r="BC364"/>
    </row>
    <row r="365" spans="54:55" x14ac:dyDescent="0.25">
      <c r="BB365" s="69"/>
      <c r="BC365"/>
    </row>
    <row r="366" spans="54:55" x14ac:dyDescent="0.25">
      <c r="BB366" s="69"/>
      <c r="BC366"/>
    </row>
    <row r="367" spans="54:55" x14ac:dyDescent="0.25">
      <c r="BB367" s="69"/>
      <c r="BC367"/>
    </row>
    <row r="368" spans="54:55" x14ac:dyDescent="0.25">
      <c r="BB368" s="69"/>
      <c r="BC368"/>
    </row>
    <row r="369" spans="54:55" x14ac:dyDescent="0.25">
      <c r="BB369" s="69"/>
      <c r="BC369"/>
    </row>
    <row r="370" spans="54:55" x14ac:dyDescent="0.25">
      <c r="BB370" s="69"/>
      <c r="BC370"/>
    </row>
    <row r="371" spans="54:55" x14ac:dyDescent="0.25">
      <c r="BB371" s="69"/>
      <c r="BC371"/>
    </row>
    <row r="372" spans="54:55" x14ac:dyDescent="0.25">
      <c r="BB372" s="69"/>
      <c r="BC372"/>
    </row>
    <row r="373" spans="54:55" x14ac:dyDescent="0.25">
      <c r="BB373" s="69"/>
      <c r="BC373"/>
    </row>
    <row r="374" spans="54:55" x14ac:dyDescent="0.25">
      <c r="BB374" s="69"/>
      <c r="BC374"/>
    </row>
    <row r="375" spans="54:55" x14ac:dyDescent="0.25">
      <c r="BB375" s="69"/>
      <c r="BC375"/>
    </row>
    <row r="376" spans="54:55" x14ac:dyDescent="0.25">
      <c r="BB376" s="69"/>
      <c r="BC376"/>
    </row>
    <row r="377" spans="54:55" x14ac:dyDescent="0.25">
      <c r="BB377" s="69"/>
      <c r="BC377"/>
    </row>
    <row r="378" spans="54:55" x14ac:dyDescent="0.25">
      <c r="BB378" s="69"/>
      <c r="BC378"/>
    </row>
    <row r="379" spans="54:55" x14ac:dyDescent="0.25">
      <c r="BB379" s="69"/>
      <c r="BC379"/>
    </row>
    <row r="380" spans="54:55" x14ac:dyDescent="0.25">
      <c r="BB380" s="69"/>
      <c r="BC380"/>
    </row>
    <row r="381" spans="54:55" x14ac:dyDescent="0.25">
      <c r="BB381" s="69"/>
      <c r="BC381"/>
    </row>
    <row r="382" spans="54:55" x14ac:dyDescent="0.25">
      <c r="BB382" s="69"/>
      <c r="BC382"/>
    </row>
    <row r="383" spans="54:55" x14ac:dyDescent="0.25">
      <c r="BB383" s="69"/>
      <c r="BC383"/>
    </row>
    <row r="384" spans="54:55" x14ac:dyDescent="0.25">
      <c r="BB384" s="69"/>
      <c r="BC384"/>
    </row>
    <row r="385" spans="54:55" x14ac:dyDescent="0.25">
      <c r="BB385" s="69"/>
      <c r="BC385"/>
    </row>
    <row r="386" spans="54:55" x14ac:dyDescent="0.25">
      <c r="BB386" s="69"/>
      <c r="BC386"/>
    </row>
    <row r="387" spans="54:55" x14ac:dyDescent="0.25">
      <c r="BB387" s="69"/>
      <c r="BC387"/>
    </row>
    <row r="388" spans="54:55" x14ac:dyDescent="0.25">
      <c r="BB388" s="69"/>
      <c r="BC388"/>
    </row>
    <row r="389" spans="54:55" x14ac:dyDescent="0.25">
      <c r="BB389" s="69"/>
      <c r="BC389"/>
    </row>
    <row r="390" spans="54:55" x14ac:dyDescent="0.25">
      <c r="BB390" s="69"/>
      <c r="BC390"/>
    </row>
    <row r="391" spans="54:55" x14ac:dyDescent="0.25">
      <c r="BB391" s="69"/>
      <c r="BC391"/>
    </row>
    <row r="392" spans="54:55" x14ac:dyDescent="0.25">
      <c r="BB392" s="69"/>
      <c r="BC392"/>
    </row>
    <row r="393" spans="54:55" x14ac:dyDescent="0.25">
      <c r="BB393" s="69"/>
      <c r="BC393"/>
    </row>
    <row r="394" spans="54:55" x14ac:dyDescent="0.25">
      <c r="BB394" s="69"/>
      <c r="BC394"/>
    </row>
    <row r="395" spans="54:55" x14ac:dyDescent="0.25">
      <c r="BB395" s="69"/>
      <c r="BC395"/>
    </row>
    <row r="396" spans="54:55" x14ac:dyDescent="0.25">
      <c r="BB396" s="69"/>
      <c r="BC396"/>
    </row>
    <row r="397" spans="54:55" x14ac:dyDescent="0.25">
      <c r="BB397" s="69"/>
      <c r="BC397"/>
    </row>
    <row r="398" spans="54:55" x14ac:dyDescent="0.25">
      <c r="BB398" s="69"/>
      <c r="BC398"/>
    </row>
    <row r="399" spans="54:55" x14ac:dyDescent="0.25">
      <c r="BB399" s="69"/>
      <c r="BC399"/>
    </row>
    <row r="400" spans="54:55" x14ac:dyDescent="0.25">
      <c r="BB400" s="69"/>
      <c r="BC400"/>
    </row>
    <row r="401" spans="54:55" x14ac:dyDescent="0.25">
      <c r="BB401" s="69"/>
      <c r="BC401"/>
    </row>
    <row r="402" spans="54:55" x14ac:dyDescent="0.25">
      <c r="BB402" s="69"/>
      <c r="BC402"/>
    </row>
    <row r="403" spans="54:55" x14ac:dyDescent="0.25">
      <c r="BB403" s="69"/>
      <c r="BC403"/>
    </row>
    <row r="404" spans="54:55" x14ac:dyDescent="0.25">
      <c r="BB404" s="69"/>
      <c r="BC404"/>
    </row>
    <row r="405" spans="54:55" x14ac:dyDescent="0.25">
      <c r="BB405" s="69"/>
      <c r="BC405"/>
    </row>
    <row r="406" spans="54:55" x14ac:dyDescent="0.25">
      <c r="BB406" s="69"/>
      <c r="BC406"/>
    </row>
    <row r="407" spans="54:55" x14ac:dyDescent="0.25">
      <c r="BB407" s="69"/>
      <c r="BC407"/>
    </row>
    <row r="408" spans="54:55" x14ac:dyDescent="0.25">
      <c r="BB408" s="69"/>
      <c r="BC408"/>
    </row>
    <row r="409" spans="54:55" x14ac:dyDescent="0.25">
      <c r="BB409" s="69"/>
      <c r="BC409"/>
    </row>
    <row r="410" spans="54:55" x14ac:dyDescent="0.25">
      <c r="BB410" s="69"/>
      <c r="BC410"/>
    </row>
    <row r="411" spans="54:55" x14ac:dyDescent="0.25">
      <c r="BB411" s="69"/>
      <c r="BC411"/>
    </row>
    <row r="412" spans="54:55" x14ac:dyDescent="0.25">
      <c r="BB412" s="69"/>
      <c r="BC412"/>
    </row>
    <row r="413" spans="54:55" x14ac:dyDescent="0.25">
      <c r="BB413" s="69"/>
      <c r="BC413"/>
    </row>
    <row r="414" spans="54:55" x14ac:dyDescent="0.25">
      <c r="BB414" s="69"/>
      <c r="BC414"/>
    </row>
    <row r="415" spans="54:55" x14ac:dyDescent="0.25">
      <c r="BB415" s="69"/>
      <c r="BC415"/>
    </row>
    <row r="416" spans="54:55" x14ac:dyDescent="0.25">
      <c r="BB416" s="69"/>
      <c r="BC416"/>
    </row>
    <row r="417" spans="54:55" x14ac:dyDescent="0.25">
      <c r="BB417" s="69"/>
      <c r="BC417"/>
    </row>
    <row r="418" spans="54:55" x14ac:dyDescent="0.25">
      <c r="BB418" s="69"/>
      <c r="BC418"/>
    </row>
    <row r="419" spans="54:55" x14ac:dyDescent="0.25">
      <c r="BB419" s="69"/>
      <c r="BC419"/>
    </row>
    <row r="420" spans="54:55" x14ac:dyDescent="0.25">
      <c r="BB420" s="69"/>
      <c r="BC420"/>
    </row>
    <row r="421" spans="54:55" x14ac:dyDescent="0.25">
      <c r="BB421" s="69"/>
      <c r="BC421"/>
    </row>
    <row r="422" spans="54:55" x14ac:dyDescent="0.25">
      <c r="BB422" s="69"/>
      <c r="BC422"/>
    </row>
    <row r="423" spans="54:55" x14ac:dyDescent="0.25">
      <c r="BB423" s="69"/>
      <c r="BC423"/>
    </row>
    <row r="424" spans="54:55" x14ac:dyDescent="0.25">
      <c r="BB424" s="69"/>
      <c r="BC424"/>
    </row>
    <row r="425" spans="54:55" x14ac:dyDescent="0.25">
      <c r="BB425" s="69"/>
      <c r="BC425"/>
    </row>
    <row r="426" spans="54:55" x14ac:dyDescent="0.25">
      <c r="BB426" s="69"/>
      <c r="BC426"/>
    </row>
    <row r="427" spans="54:55" x14ac:dyDescent="0.25">
      <c r="BB427" s="69"/>
      <c r="BC427"/>
    </row>
    <row r="428" spans="54:55" x14ac:dyDescent="0.25">
      <c r="BB428" s="69"/>
      <c r="BC428"/>
    </row>
    <row r="429" spans="54:55" x14ac:dyDescent="0.25">
      <c r="BB429" s="69"/>
      <c r="BC429"/>
    </row>
    <row r="430" spans="54:55" x14ac:dyDescent="0.25">
      <c r="BB430" s="69"/>
      <c r="BC430"/>
    </row>
    <row r="431" spans="54:55" x14ac:dyDescent="0.25">
      <c r="BB431" s="69"/>
      <c r="BC431"/>
    </row>
    <row r="432" spans="54:55" x14ac:dyDescent="0.25">
      <c r="BB432" s="69"/>
      <c r="BC432"/>
    </row>
    <row r="433" spans="54:55" x14ac:dyDescent="0.25">
      <c r="BB433" s="69"/>
      <c r="BC433"/>
    </row>
    <row r="434" spans="54:55" x14ac:dyDescent="0.25">
      <c r="BB434" s="69"/>
      <c r="BC434"/>
    </row>
    <row r="435" spans="54:55" x14ac:dyDescent="0.25">
      <c r="BB435" s="69"/>
      <c r="BC435"/>
    </row>
    <row r="436" spans="54:55" x14ac:dyDescent="0.25">
      <c r="BB436" s="69"/>
      <c r="BC436"/>
    </row>
    <row r="437" spans="54:55" x14ac:dyDescent="0.25">
      <c r="BB437" s="69"/>
      <c r="BC437"/>
    </row>
    <row r="438" spans="54:55" x14ac:dyDescent="0.25">
      <c r="BB438" s="69"/>
      <c r="BC438"/>
    </row>
    <row r="439" spans="54:55" x14ac:dyDescent="0.25">
      <c r="BB439" s="69"/>
      <c r="BC439"/>
    </row>
    <row r="440" spans="54:55" x14ac:dyDescent="0.25">
      <c r="BB440" s="69"/>
      <c r="BC440"/>
    </row>
    <row r="441" spans="54:55" x14ac:dyDescent="0.25">
      <c r="BB441" s="69"/>
      <c r="BC441"/>
    </row>
    <row r="442" spans="54:55" x14ac:dyDescent="0.25">
      <c r="BB442" s="69"/>
      <c r="BC442"/>
    </row>
    <row r="443" spans="54:55" x14ac:dyDescent="0.25">
      <c r="BB443" s="69"/>
      <c r="BC443"/>
    </row>
    <row r="444" spans="54:55" x14ac:dyDescent="0.25">
      <c r="BB444" s="69"/>
      <c r="BC444"/>
    </row>
    <row r="445" spans="54:55" x14ac:dyDescent="0.25">
      <c r="BB445" s="69"/>
      <c r="BC445"/>
    </row>
    <row r="446" spans="54:55" x14ac:dyDescent="0.25">
      <c r="BB446" s="69"/>
      <c r="BC446"/>
    </row>
    <row r="447" spans="54:55" x14ac:dyDescent="0.25">
      <c r="BB447" s="69"/>
      <c r="BC447"/>
    </row>
    <row r="448" spans="54:55" x14ac:dyDescent="0.25">
      <c r="BB448" s="69"/>
      <c r="BC448"/>
    </row>
    <row r="449" spans="54:55" x14ac:dyDescent="0.25">
      <c r="BB449" s="69"/>
      <c r="BC449"/>
    </row>
    <row r="450" spans="54:55" x14ac:dyDescent="0.25">
      <c r="BB450" s="69"/>
      <c r="BC450"/>
    </row>
    <row r="451" spans="54:55" x14ac:dyDescent="0.25">
      <c r="BB451" s="69"/>
      <c r="BC451"/>
    </row>
    <row r="452" spans="54:55" x14ac:dyDescent="0.25">
      <c r="BB452" s="69"/>
      <c r="BC452"/>
    </row>
    <row r="453" spans="54:55" x14ac:dyDescent="0.25">
      <c r="BB453" s="69"/>
      <c r="BC453"/>
    </row>
    <row r="454" spans="54:55" x14ac:dyDescent="0.25">
      <c r="BB454" s="69"/>
      <c r="BC454"/>
    </row>
    <row r="455" spans="54:55" x14ac:dyDescent="0.25">
      <c r="BB455" s="69"/>
      <c r="BC455"/>
    </row>
    <row r="456" spans="54:55" x14ac:dyDescent="0.25">
      <c r="BB456" s="69"/>
      <c r="BC456"/>
    </row>
    <row r="457" spans="54:55" x14ac:dyDescent="0.25">
      <c r="BB457" s="69"/>
      <c r="BC457"/>
    </row>
    <row r="458" spans="54:55" x14ac:dyDescent="0.25">
      <c r="BB458" s="69"/>
      <c r="BC458"/>
    </row>
    <row r="459" spans="54:55" x14ac:dyDescent="0.25">
      <c r="BB459" s="69"/>
      <c r="BC459"/>
    </row>
    <row r="460" spans="54:55" x14ac:dyDescent="0.25">
      <c r="BB460" s="69"/>
      <c r="BC460"/>
    </row>
    <row r="461" spans="54:55" x14ac:dyDescent="0.25">
      <c r="BB461" s="69"/>
      <c r="BC461"/>
    </row>
    <row r="462" spans="54:55" x14ac:dyDescent="0.25">
      <c r="BB462" s="69"/>
      <c r="BC462"/>
    </row>
    <row r="463" spans="54:55" x14ac:dyDescent="0.25">
      <c r="BB463" s="69"/>
      <c r="BC463"/>
    </row>
    <row r="464" spans="54:55" x14ac:dyDescent="0.25">
      <c r="BB464" s="69"/>
      <c r="BC464"/>
    </row>
    <row r="465" spans="54:55" x14ac:dyDescent="0.25">
      <c r="BB465" s="69"/>
      <c r="BC465"/>
    </row>
    <row r="466" spans="54:55" x14ac:dyDescent="0.25">
      <c r="BB466" s="69"/>
      <c r="BC466"/>
    </row>
    <row r="467" spans="54:55" x14ac:dyDescent="0.25">
      <c r="BB467" s="69"/>
      <c r="BC467"/>
    </row>
    <row r="468" spans="54:55" x14ac:dyDescent="0.25">
      <c r="BB468" s="69"/>
      <c r="BC468"/>
    </row>
    <row r="469" spans="54:55" x14ac:dyDescent="0.25">
      <c r="BB469" s="69"/>
      <c r="BC469"/>
    </row>
    <row r="470" spans="54:55" x14ac:dyDescent="0.25">
      <c r="BB470" s="69"/>
      <c r="BC470"/>
    </row>
    <row r="471" spans="54:55" x14ac:dyDescent="0.25">
      <c r="BB471" s="69"/>
      <c r="BC471"/>
    </row>
    <row r="472" spans="54:55" x14ac:dyDescent="0.25">
      <c r="BB472" s="69"/>
      <c r="BC472"/>
    </row>
    <row r="473" spans="54:55" x14ac:dyDescent="0.25">
      <c r="BB473" s="69"/>
      <c r="BC473"/>
    </row>
    <row r="474" spans="54:55" x14ac:dyDescent="0.25">
      <c r="BB474" s="69"/>
      <c r="BC474"/>
    </row>
    <row r="475" spans="54:55" x14ac:dyDescent="0.25">
      <c r="BB475" s="69"/>
      <c r="BC475"/>
    </row>
    <row r="476" spans="54:55" x14ac:dyDescent="0.25">
      <c r="BB476" s="69"/>
      <c r="BC476"/>
    </row>
    <row r="477" spans="54:55" x14ac:dyDescent="0.25">
      <c r="BB477" s="69"/>
      <c r="BC477"/>
    </row>
    <row r="478" spans="54:55" x14ac:dyDescent="0.25">
      <c r="BB478" s="69"/>
      <c r="BC478"/>
    </row>
    <row r="479" spans="54:55" x14ac:dyDescent="0.25">
      <c r="BB479" s="69"/>
      <c r="BC479"/>
    </row>
    <row r="480" spans="54:55" x14ac:dyDescent="0.25">
      <c r="BB480" s="69"/>
      <c r="BC480"/>
    </row>
    <row r="481" spans="54:55" x14ac:dyDescent="0.25">
      <c r="BB481" s="69"/>
      <c r="BC481"/>
    </row>
    <row r="482" spans="54:55" x14ac:dyDescent="0.25">
      <c r="BB482" s="69"/>
      <c r="BC482"/>
    </row>
    <row r="483" spans="54:55" x14ac:dyDescent="0.25">
      <c r="BB483" s="69"/>
      <c r="BC483"/>
    </row>
    <row r="484" spans="54:55" x14ac:dyDescent="0.25">
      <c r="BB484" s="69"/>
      <c r="BC484"/>
    </row>
    <row r="485" spans="54:55" x14ac:dyDescent="0.25">
      <c r="BB485" s="69"/>
      <c r="BC485"/>
    </row>
    <row r="486" spans="54:55" x14ac:dyDescent="0.25">
      <c r="BB486" s="69"/>
      <c r="BC486"/>
    </row>
    <row r="487" spans="54:55" x14ac:dyDescent="0.25">
      <c r="BB487" s="69"/>
      <c r="BC487"/>
    </row>
    <row r="488" spans="54:55" x14ac:dyDescent="0.25">
      <c r="BB488" s="69"/>
      <c r="BC488"/>
    </row>
    <row r="489" spans="54:55" x14ac:dyDescent="0.25">
      <c r="BB489" s="69"/>
      <c r="BC489"/>
    </row>
    <row r="490" spans="54:55" x14ac:dyDescent="0.25">
      <c r="BB490" s="69"/>
      <c r="BC490"/>
    </row>
    <row r="491" spans="54:55" x14ac:dyDescent="0.25">
      <c r="BB491" s="69"/>
      <c r="BC491"/>
    </row>
    <row r="492" spans="54:55" x14ac:dyDescent="0.25">
      <c r="BB492" s="69"/>
      <c r="BC492"/>
    </row>
    <row r="493" spans="54:55" x14ac:dyDescent="0.25">
      <c r="BB493" s="69"/>
      <c r="BC493"/>
    </row>
    <row r="494" spans="54:55" x14ac:dyDescent="0.25">
      <c r="BB494" s="69"/>
      <c r="BC494"/>
    </row>
    <row r="495" spans="54:55" x14ac:dyDescent="0.25">
      <c r="BB495" s="69"/>
      <c r="BC495"/>
    </row>
    <row r="496" spans="54:55" x14ac:dyDescent="0.25">
      <c r="BB496" s="69"/>
      <c r="BC496"/>
    </row>
    <row r="497" spans="54:55" x14ac:dyDescent="0.25">
      <c r="BB497" s="69"/>
      <c r="BC497"/>
    </row>
    <row r="498" spans="54:55" x14ac:dyDescent="0.25">
      <c r="BB498" s="69"/>
      <c r="BC498"/>
    </row>
    <row r="499" spans="54:55" x14ac:dyDescent="0.25">
      <c r="BB499" s="69"/>
      <c r="BC499"/>
    </row>
    <row r="500" spans="54:55" x14ac:dyDescent="0.25">
      <c r="BB500" s="69"/>
      <c r="BC500"/>
    </row>
    <row r="501" spans="54:55" x14ac:dyDescent="0.25">
      <c r="BB501" s="69"/>
      <c r="BC501"/>
    </row>
    <row r="502" spans="54:55" x14ac:dyDescent="0.25">
      <c r="BB502" s="69"/>
      <c r="BC502"/>
    </row>
    <row r="503" spans="54:55" x14ac:dyDescent="0.25">
      <c r="BB503" s="69"/>
      <c r="BC503"/>
    </row>
    <row r="504" spans="54:55" x14ac:dyDescent="0.25">
      <c r="BB504" s="69"/>
      <c r="BC504"/>
    </row>
    <row r="505" spans="54:55" x14ac:dyDescent="0.25">
      <c r="BB505" s="69"/>
      <c r="BC505"/>
    </row>
    <row r="506" spans="54:55" x14ac:dyDescent="0.25">
      <c r="BB506" s="69"/>
      <c r="BC506"/>
    </row>
    <row r="507" spans="54:55" x14ac:dyDescent="0.25">
      <c r="BB507" s="69"/>
      <c r="BC507"/>
    </row>
    <row r="508" spans="54:55" x14ac:dyDescent="0.25">
      <c r="BB508" s="69"/>
      <c r="BC508"/>
    </row>
    <row r="509" spans="54:55" x14ac:dyDescent="0.25">
      <c r="BB509" s="69"/>
      <c r="BC509"/>
    </row>
    <row r="510" spans="54:55" x14ac:dyDescent="0.25">
      <c r="BB510" s="69"/>
      <c r="BC510"/>
    </row>
    <row r="511" spans="54:55" x14ac:dyDescent="0.25">
      <c r="BB511" s="69"/>
      <c r="BC511"/>
    </row>
    <row r="512" spans="54:55" x14ac:dyDescent="0.25">
      <c r="BB512" s="69"/>
      <c r="BC512"/>
    </row>
    <row r="513" spans="54:55" x14ac:dyDescent="0.25">
      <c r="BB513" s="69"/>
      <c r="BC513"/>
    </row>
    <row r="514" spans="54:55" x14ac:dyDescent="0.25">
      <c r="BB514" s="69"/>
      <c r="BC514"/>
    </row>
    <row r="515" spans="54:55" x14ac:dyDescent="0.25">
      <c r="BB515" s="69"/>
      <c r="BC515"/>
    </row>
    <row r="516" spans="54:55" x14ac:dyDescent="0.25">
      <c r="BB516" s="69"/>
      <c r="BC516"/>
    </row>
    <row r="517" spans="54:55" x14ac:dyDescent="0.25">
      <c r="BB517" s="69"/>
      <c r="BC517"/>
    </row>
    <row r="518" spans="54:55" x14ac:dyDescent="0.25">
      <c r="BB518" s="69"/>
      <c r="BC518"/>
    </row>
    <row r="519" spans="54:55" x14ac:dyDescent="0.25">
      <c r="BB519" s="69"/>
      <c r="BC519"/>
    </row>
    <row r="520" spans="54:55" x14ac:dyDescent="0.25">
      <c r="BB520" s="69"/>
      <c r="BC520"/>
    </row>
    <row r="521" spans="54:55" x14ac:dyDescent="0.25">
      <c r="BB521" s="69"/>
      <c r="BC521"/>
    </row>
    <row r="522" spans="54:55" x14ac:dyDescent="0.25">
      <c r="BB522" s="69"/>
      <c r="BC522"/>
    </row>
    <row r="523" spans="54:55" x14ac:dyDescent="0.25">
      <c r="BB523" s="69"/>
      <c r="BC523"/>
    </row>
    <row r="524" spans="54:55" x14ac:dyDescent="0.25">
      <c r="BB524" s="69"/>
      <c r="BC524"/>
    </row>
    <row r="525" spans="54:55" x14ac:dyDescent="0.25">
      <c r="BB525" s="69"/>
      <c r="BC525"/>
    </row>
    <row r="526" spans="54:55" x14ac:dyDescent="0.25">
      <c r="BB526" s="69"/>
      <c r="BC526"/>
    </row>
    <row r="527" spans="54:55" x14ac:dyDescent="0.25">
      <c r="BB527" s="69"/>
      <c r="BC527"/>
    </row>
    <row r="528" spans="54:55" x14ac:dyDescent="0.25">
      <c r="BB528" s="69"/>
      <c r="BC528"/>
    </row>
    <row r="529" spans="54:55" x14ac:dyDescent="0.25">
      <c r="BB529" s="69"/>
      <c r="BC529"/>
    </row>
    <row r="530" spans="54:55" x14ac:dyDescent="0.25">
      <c r="BB530" s="69"/>
      <c r="BC530"/>
    </row>
    <row r="531" spans="54:55" x14ac:dyDescent="0.25">
      <c r="BB531" s="69"/>
      <c r="BC531"/>
    </row>
    <row r="532" spans="54:55" x14ac:dyDescent="0.25">
      <c r="BB532" s="69"/>
      <c r="BC532"/>
    </row>
    <row r="533" spans="54:55" x14ac:dyDescent="0.25">
      <c r="BB533" s="69"/>
      <c r="BC533"/>
    </row>
    <row r="534" spans="54:55" x14ac:dyDescent="0.25">
      <c r="BB534" s="69"/>
      <c r="BC534"/>
    </row>
    <row r="535" spans="54:55" x14ac:dyDescent="0.25">
      <c r="BB535" s="69"/>
      <c r="BC535"/>
    </row>
    <row r="536" spans="54:55" x14ac:dyDescent="0.25">
      <c r="BB536" s="69"/>
      <c r="BC536"/>
    </row>
    <row r="537" spans="54:55" x14ac:dyDescent="0.25">
      <c r="BB537" s="69"/>
      <c r="BC537"/>
    </row>
    <row r="538" spans="54:55" x14ac:dyDescent="0.25">
      <c r="BB538" s="69"/>
      <c r="BC538"/>
    </row>
    <row r="539" spans="54:55" x14ac:dyDescent="0.25">
      <c r="BB539" s="69"/>
      <c r="BC539"/>
    </row>
    <row r="540" spans="54:55" x14ac:dyDescent="0.25">
      <c r="BB540" s="69"/>
      <c r="BC540"/>
    </row>
    <row r="541" spans="54:55" x14ac:dyDescent="0.25">
      <c r="BB541" s="69"/>
      <c r="BC541"/>
    </row>
    <row r="542" spans="54:55" x14ac:dyDescent="0.25">
      <c r="BB542" s="69"/>
      <c r="BC542"/>
    </row>
    <row r="543" spans="54:55" x14ac:dyDescent="0.25">
      <c r="BB543" s="69"/>
      <c r="BC543"/>
    </row>
    <row r="544" spans="54:55" x14ac:dyDescent="0.25">
      <c r="BB544" s="69"/>
      <c r="BC544"/>
    </row>
    <row r="545" spans="54:55" x14ac:dyDescent="0.25">
      <c r="BB545" s="69"/>
      <c r="BC545"/>
    </row>
    <row r="546" spans="54:55" x14ac:dyDescent="0.25">
      <c r="BB546" s="69"/>
      <c r="BC546"/>
    </row>
    <row r="547" spans="54:55" x14ac:dyDescent="0.25">
      <c r="BB547" s="69"/>
      <c r="BC547"/>
    </row>
    <row r="548" spans="54:55" x14ac:dyDescent="0.25">
      <c r="BB548" s="69"/>
      <c r="BC548"/>
    </row>
    <row r="549" spans="54:55" x14ac:dyDescent="0.25">
      <c r="BB549" s="69"/>
      <c r="BC549"/>
    </row>
    <row r="550" spans="54:55" x14ac:dyDescent="0.25">
      <c r="BB550" s="69"/>
      <c r="BC550"/>
    </row>
    <row r="551" spans="54:55" x14ac:dyDescent="0.25">
      <c r="BB551" s="69"/>
      <c r="BC551"/>
    </row>
    <row r="552" spans="54:55" x14ac:dyDescent="0.25">
      <c r="BB552" s="69"/>
      <c r="BC552"/>
    </row>
    <row r="553" spans="54:55" x14ac:dyDescent="0.25">
      <c r="BB553" s="69"/>
      <c r="BC553"/>
    </row>
    <row r="554" spans="54:55" x14ac:dyDescent="0.25">
      <c r="BB554" s="69"/>
      <c r="BC554"/>
    </row>
    <row r="555" spans="54:55" x14ac:dyDescent="0.25">
      <c r="BB555" s="69"/>
      <c r="BC555"/>
    </row>
    <row r="556" spans="54:55" x14ac:dyDescent="0.25">
      <c r="BB556" s="69"/>
      <c r="BC556"/>
    </row>
    <row r="557" spans="54:55" x14ac:dyDescent="0.25">
      <c r="BB557" s="69"/>
      <c r="BC557"/>
    </row>
    <row r="558" spans="54:55" x14ac:dyDescent="0.25">
      <c r="BB558" s="69"/>
      <c r="BC558"/>
    </row>
    <row r="559" spans="54:55" x14ac:dyDescent="0.25">
      <c r="BB559" s="69"/>
      <c r="BC559"/>
    </row>
    <row r="560" spans="54:55" x14ac:dyDescent="0.25">
      <c r="BB560" s="69"/>
      <c r="BC560"/>
    </row>
    <row r="561" spans="54:55" x14ac:dyDescent="0.25">
      <c r="BB561" s="69"/>
      <c r="BC561"/>
    </row>
    <row r="562" spans="54:55" x14ac:dyDescent="0.25">
      <c r="BB562" s="69"/>
      <c r="BC562"/>
    </row>
    <row r="563" spans="54:55" x14ac:dyDescent="0.25">
      <c r="BB563" s="69"/>
      <c r="BC563"/>
    </row>
    <row r="564" spans="54:55" x14ac:dyDescent="0.25">
      <c r="BB564" s="69"/>
      <c r="BC564"/>
    </row>
    <row r="565" spans="54:55" x14ac:dyDescent="0.25">
      <c r="BB565" s="69"/>
      <c r="BC565"/>
    </row>
    <row r="566" spans="54:55" x14ac:dyDescent="0.25">
      <c r="BB566" s="69"/>
      <c r="BC566"/>
    </row>
    <row r="567" spans="54:55" x14ac:dyDescent="0.25">
      <c r="BB567" s="69"/>
      <c r="BC567"/>
    </row>
  </sheetData>
  <sheetProtection algorithmName="SHA-512" hashValue="vm+jIv8EEX48ErPPgtkFvil20b2rC8/oz0gIHUF55eHJ3drcknVLXES2vwwIb8X5enMWLKS1YcfiJgMlmfjvVw==" saltValue="6PVLCGctQLIdhinNwRAUgg==" spinCount="100000" sheet="1" selectLockedCells="1" selectUnlockedCells="1"/>
  <mergeCells count="10">
    <mergeCell ref="A124:C127"/>
    <mergeCell ref="A104:B104"/>
    <mergeCell ref="A114:B114"/>
    <mergeCell ref="A116:B116"/>
    <mergeCell ref="A117:B117"/>
    <mergeCell ref="L1:O1"/>
    <mergeCell ref="C1:F1"/>
    <mergeCell ref="A2:B2"/>
    <mergeCell ref="H2:J2"/>
    <mergeCell ref="K2:M2"/>
  </mergeCells>
  <hyperlinks>
    <hyperlink ref="K2:M2" r:id="rId1" display="Percentages are from the Memorandum of Understanding, Exhibit 3" xr:uid="{071979C6-B046-4FAA-9085-ECF12F66299B}"/>
  </hyperlinks>
  <pageMargins left="0.25" right="0.25" top="0.75" bottom="0.75" header="0.3" footer="0.3"/>
  <pageSetup paperSize="17" scale="52" fitToWidth="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Pellerano, Benedetta</dc:creator>
  <cp:lastModifiedBy>Taranko, Haley</cp:lastModifiedBy>
  <cp:lastPrinted>2024-01-17T13:44:17Z</cp:lastPrinted>
  <dcterms:created xsi:type="dcterms:W3CDTF">2023-06-12T17:30:46Z</dcterms:created>
  <dcterms:modified xsi:type="dcterms:W3CDTF">2024-05-20T15:01:40Z</dcterms:modified>
</cp:coreProperties>
</file>